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95" yWindow="3960" windowWidth="11730" windowHeight="1170" firstSheet="23" activeTab="30"/>
  </bookViews>
  <sheets>
    <sheet name="January 2015" sheetId="52" r:id="rId1"/>
    <sheet name="February 2015" sheetId="53" r:id="rId2"/>
    <sheet name="March 2015" sheetId="54" r:id="rId3"/>
    <sheet name="April 2015" sheetId="55" r:id="rId4"/>
    <sheet name="May 2015" sheetId="56" r:id="rId5"/>
    <sheet name="June 15" sheetId="57" r:id="rId6"/>
    <sheet name="July 15" sheetId="58" r:id="rId7"/>
    <sheet name="August 15" sheetId="59" r:id="rId8"/>
    <sheet name="September 15" sheetId="60" r:id="rId9"/>
    <sheet name="October 15" sheetId="61" r:id="rId10"/>
    <sheet name="November 15" sheetId="62" r:id="rId11"/>
    <sheet name="December 15" sheetId="63" r:id="rId12"/>
    <sheet name="January 2016" sheetId="64" r:id="rId13"/>
    <sheet name="February 2016" sheetId="65" r:id="rId14"/>
    <sheet name="March 2016" sheetId="66" r:id="rId15"/>
    <sheet name="April 2016" sheetId="67" r:id="rId16"/>
    <sheet name="May 2016" sheetId="68" r:id="rId17"/>
    <sheet name="June 2016" sheetId="69" r:id="rId18"/>
    <sheet name="July 2016" sheetId="71" r:id="rId19"/>
    <sheet name="August 2016" sheetId="70" r:id="rId20"/>
    <sheet name="September 2016" sheetId="72" r:id="rId21"/>
    <sheet name="October 2016" sheetId="73" r:id="rId22"/>
    <sheet name="November 2016" sheetId="74" r:id="rId23"/>
    <sheet name="December 2016" sheetId="75" r:id="rId24"/>
    <sheet name="January 2017" sheetId="76" r:id="rId25"/>
    <sheet name="February 2017" sheetId="77" r:id="rId26"/>
    <sheet name="March 2017" sheetId="78" r:id="rId27"/>
    <sheet name="April 2017" sheetId="79" r:id="rId28"/>
    <sheet name="May 2017" sheetId="80" r:id="rId29"/>
    <sheet name="June 2017" sheetId="81" r:id="rId30"/>
    <sheet name="July 2017" sheetId="82" r:id="rId31"/>
  </sheets>
  <calcPr calcId="145621"/>
  <fileRecoveryPr autoRecover="0"/>
</workbook>
</file>

<file path=xl/calcChain.xml><?xml version="1.0" encoding="utf-8"?>
<calcChain xmlns="http://schemas.openxmlformats.org/spreadsheetml/2006/main">
  <c r="A8" i="82" l="1"/>
  <c r="A9" i="82" s="1"/>
  <c r="A10" i="82" s="1"/>
  <c r="A11" i="82" s="1"/>
  <c r="A12" i="82" s="1"/>
  <c r="A13" i="82" s="1"/>
  <c r="A14" i="82" s="1"/>
  <c r="A15" i="82" s="1"/>
  <c r="A16" i="82" s="1"/>
  <c r="A17" i="82" s="1"/>
  <c r="A18" i="82" s="1"/>
  <c r="A19" i="82" s="1"/>
  <c r="A20" i="82" s="1"/>
  <c r="A21" i="82" s="1"/>
  <c r="A22" i="82" s="1"/>
  <c r="A23" i="82" s="1"/>
  <c r="A24" i="82" s="1"/>
  <c r="A25" i="82" s="1"/>
  <c r="A26" i="82" s="1"/>
  <c r="A27" i="82" s="1"/>
  <c r="A28" i="82" s="1"/>
  <c r="A29" i="82" s="1"/>
  <c r="A30" i="82" s="1"/>
  <c r="A31" i="82" s="1"/>
  <c r="A32" i="82" s="1"/>
  <c r="A33" i="82" s="1"/>
  <c r="A34" i="82" s="1"/>
  <c r="A7" i="82"/>
  <c r="A6" i="82"/>
  <c r="A5" i="82"/>
  <c r="C32" i="81" l="1"/>
  <c r="I32" i="81"/>
  <c r="B32" i="81"/>
  <c r="I31" i="81" l="1"/>
  <c r="C31" i="81"/>
  <c r="B31" i="81"/>
  <c r="I30" i="81" l="1"/>
  <c r="C30" i="81"/>
  <c r="B30" i="81"/>
  <c r="I29" i="81" l="1"/>
  <c r="C29" i="81"/>
  <c r="B29" i="81"/>
  <c r="C25" i="81" l="1"/>
  <c r="C24" i="81"/>
  <c r="C23" i="81"/>
  <c r="C22" i="81"/>
  <c r="I28" i="81"/>
  <c r="C28" i="81"/>
  <c r="B28" i="81"/>
  <c r="I27" i="81"/>
  <c r="F27" i="81"/>
  <c r="C27" i="81"/>
  <c r="B27" i="81"/>
  <c r="I26" i="81"/>
  <c r="C26" i="81"/>
  <c r="B26" i="81"/>
  <c r="F24" i="81" l="1"/>
  <c r="I22" i="81" l="1"/>
  <c r="B22" i="81"/>
  <c r="I21" i="81" l="1"/>
  <c r="C21" i="81"/>
  <c r="B21" i="81"/>
  <c r="I20" i="81"/>
  <c r="C20" i="81"/>
  <c r="B20" i="81"/>
  <c r="I19" i="81"/>
  <c r="F19" i="81"/>
  <c r="C19" i="81"/>
  <c r="B19" i="81"/>
  <c r="I18" i="81" l="1"/>
  <c r="C18" i="81"/>
  <c r="F17" i="81" l="1"/>
  <c r="I17" i="81" l="1"/>
  <c r="C17" i="81"/>
  <c r="C16" i="81" l="1"/>
  <c r="C15" i="81"/>
  <c r="I16" i="81"/>
  <c r="I15" i="81"/>
  <c r="I14" i="81" l="1"/>
  <c r="B14" i="81"/>
  <c r="I13" i="81"/>
  <c r="B13" i="81"/>
  <c r="I12" i="81"/>
  <c r="B12" i="81"/>
  <c r="I10" i="81" l="1"/>
  <c r="C10" i="81"/>
  <c r="I9" i="81" l="1"/>
  <c r="C9" i="81"/>
  <c r="I7" i="81" l="1"/>
  <c r="C7" i="81"/>
  <c r="I6" i="81"/>
  <c r="C6" i="81"/>
  <c r="I5" i="81"/>
  <c r="C5" i="81"/>
  <c r="I4" i="81"/>
  <c r="C4" i="81"/>
  <c r="A6" i="81"/>
  <c r="A7" i="81" s="1"/>
  <c r="A8" i="81" s="1"/>
  <c r="A9" i="81" s="1"/>
  <c r="A10" i="81" s="1"/>
  <c r="A11" i="81" s="1"/>
  <c r="A12" i="81" s="1"/>
  <c r="A13" i="81" s="1"/>
  <c r="A14" i="81" s="1"/>
  <c r="A15" i="81" s="1"/>
  <c r="A16" i="81" s="1"/>
  <c r="A17" i="81" s="1"/>
  <c r="A18" i="81" s="1"/>
  <c r="A19" i="81" s="1"/>
  <c r="A20" i="81" s="1"/>
  <c r="A21" i="81" s="1"/>
  <c r="A22" i="81" s="1"/>
  <c r="A23" i="81" s="1"/>
  <c r="A24" i="81" s="1"/>
  <c r="A25" i="81" s="1"/>
  <c r="A26" i="81" s="1"/>
  <c r="A27" i="81" s="1"/>
  <c r="A28" i="81" s="1"/>
  <c r="A29" i="81" s="1"/>
  <c r="A30" i="81" s="1"/>
  <c r="A31" i="81" s="1"/>
  <c r="A32" i="81" s="1"/>
  <c r="A33" i="81" s="1"/>
  <c r="A5" i="81"/>
  <c r="F34" i="80" l="1"/>
  <c r="I34" i="80"/>
  <c r="C34" i="80"/>
  <c r="I33" i="80" l="1"/>
  <c r="C33" i="80"/>
  <c r="B33" i="80"/>
  <c r="F31" i="80" l="1"/>
  <c r="I32" i="80"/>
  <c r="C32" i="80"/>
  <c r="I31" i="80" l="1"/>
  <c r="C31" i="80"/>
  <c r="B31" i="80"/>
  <c r="I30" i="80"/>
  <c r="C30" i="80"/>
  <c r="B30" i="80"/>
  <c r="I29" i="80"/>
  <c r="C29" i="80"/>
  <c r="B29" i="80"/>
  <c r="I26" i="80" l="1"/>
  <c r="C26" i="80"/>
  <c r="I25" i="80" l="1"/>
  <c r="C25" i="80"/>
  <c r="F22" i="80" l="1"/>
  <c r="I24" i="80"/>
  <c r="C24" i="80"/>
  <c r="I23" i="80"/>
  <c r="C23" i="80"/>
  <c r="I22" i="80"/>
  <c r="C22" i="80"/>
  <c r="I21" i="80" l="1"/>
  <c r="C21" i="80"/>
  <c r="I20" i="80" l="1"/>
  <c r="C20" i="80"/>
  <c r="I19" i="80" l="1"/>
  <c r="C19" i="80"/>
  <c r="F18" i="80" l="1"/>
  <c r="I18" i="80"/>
  <c r="C18" i="80"/>
  <c r="I17" i="80" l="1"/>
  <c r="C17" i="80"/>
  <c r="I16" i="80"/>
  <c r="C16" i="80"/>
  <c r="I15" i="80"/>
  <c r="C15" i="80"/>
  <c r="I14" i="80" l="1"/>
  <c r="C14" i="80"/>
  <c r="I13" i="80" l="1"/>
  <c r="C13" i="80"/>
  <c r="I12" i="80" l="1"/>
  <c r="C12" i="80"/>
  <c r="F11" i="80" l="1"/>
  <c r="I11" i="80"/>
  <c r="C11" i="80"/>
  <c r="I10" i="80" l="1"/>
  <c r="C10" i="80"/>
  <c r="I9" i="80"/>
  <c r="C9" i="80"/>
  <c r="I8" i="80"/>
  <c r="C8" i="80"/>
  <c r="I7" i="80" l="1"/>
  <c r="F7" i="80"/>
  <c r="C7" i="80"/>
  <c r="I6" i="80" l="1"/>
  <c r="C6" i="80"/>
  <c r="C5" i="80" l="1"/>
  <c r="I5" i="80"/>
  <c r="I4" i="80" l="1"/>
  <c r="C4" i="80"/>
  <c r="A7" i="80"/>
  <c r="A8" i="80" s="1"/>
  <c r="A9" i="80" s="1"/>
  <c r="A10" i="80" s="1"/>
  <c r="A11" i="80" s="1"/>
  <c r="A12" i="80" s="1"/>
  <c r="A13" i="80" s="1"/>
  <c r="A14" i="80" s="1"/>
  <c r="A15" i="80" s="1"/>
  <c r="A16" i="80" s="1"/>
  <c r="A17" i="80" s="1"/>
  <c r="A18" i="80" s="1"/>
  <c r="A19" i="80" s="1"/>
  <c r="A20" i="80" s="1"/>
  <c r="A21" i="80" s="1"/>
  <c r="A22" i="80" s="1"/>
  <c r="A23" i="80" s="1"/>
  <c r="A24" i="80" s="1"/>
  <c r="A25" i="80" s="1"/>
  <c r="A26" i="80" s="1"/>
  <c r="A27" i="80" s="1"/>
  <c r="A28" i="80" s="1"/>
  <c r="A29" i="80" s="1"/>
  <c r="A30" i="80" s="1"/>
  <c r="A31" i="80" s="1"/>
  <c r="A32" i="80" s="1"/>
  <c r="A33" i="80" s="1"/>
  <c r="A34" i="80" s="1"/>
  <c r="A6" i="80"/>
  <c r="A5" i="80"/>
  <c r="I33" i="79"/>
  <c r="C33" i="79"/>
  <c r="I32" i="79"/>
  <c r="F32" i="79"/>
  <c r="C32" i="79"/>
  <c r="I31" i="79"/>
  <c r="F31" i="79"/>
  <c r="C31" i="79"/>
  <c r="I30" i="79" l="1"/>
  <c r="C30" i="79"/>
  <c r="I29" i="79" l="1"/>
  <c r="F25" i="79" l="1"/>
  <c r="I28" i="79"/>
  <c r="I27" i="79"/>
  <c r="I26" i="79"/>
  <c r="I25" i="79"/>
  <c r="I24" i="79"/>
  <c r="I23" i="79" l="1"/>
  <c r="C23" i="79"/>
  <c r="I22" i="79" l="1"/>
  <c r="I21" i="79" l="1"/>
  <c r="I20" i="79" l="1"/>
  <c r="I19" i="79"/>
  <c r="C19" i="79"/>
  <c r="I18" i="79"/>
  <c r="I17" i="79"/>
  <c r="F17" i="79"/>
  <c r="I16" i="79" l="1"/>
  <c r="B16" i="79"/>
  <c r="I15" i="79" l="1"/>
  <c r="C15" i="79"/>
  <c r="I14" i="79" l="1"/>
  <c r="I13" i="79" l="1"/>
  <c r="C13" i="79"/>
  <c r="B13" i="79"/>
  <c r="F12" i="79" l="1"/>
  <c r="I12" i="79"/>
  <c r="C12" i="79"/>
  <c r="B12" i="79"/>
  <c r="I11" i="79"/>
  <c r="C11" i="79"/>
  <c r="B11" i="79"/>
  <c r="I10" i="79"/>
  <c r="C10" i="79"/>
  <c r="B10" i="79"/>
  <c r="F9" i="79" l="1"/>
  <c r="C8" i="79" l="1"/>
  <c r="C7" i="79"/>
  <c r="I9" i="79"/>
  <c r="C9" i="79"/>
  <c r="B9" i="79"/>
  <c r="I6" i="79" l="1"/>
  <c r="F6" i="79"/>
  <c r="I5" i="79" l="1"/>
  <c r="C5" i="79"/>
  <c r="B5" i="79"/>
  <c r="I4" i="79"/>
  <c r="C4" i="79"/>
  <c r="B4" i="79"/>
  <c r="A5" i="79"/>
  <c r="A6" i="79" s="1"/>
  <c r="A7" i="79" s="1"/>
  <c r="A8" i="79" s="1"/>
  <c r="A9" i="79" s="1"/>
  <c r="A10" i="79" s="1"/>
  <c r="A11" i="79" s="1"/>
  <c r="A12" i="79" s="1"/>
  <c r="A13" i="79" s="1"/>
  <c r="A14" i="79" s="1"/>
  <c r="A15" i="79" s="1"/>
  <c r="A16" i="79" s="1"/>
  <c r="A17" i="79" s="1"/>
  <c r="A18" i="79" s="1"/>
  <c r="A19" i="79" s="1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I34" i="78"/>
  <c r="C34" i="78"/>
  <c r="B34" i="78"/>
  <c r="I33" i="78" l="1"/>
  <c r="C33" i="78"/>
  <c r="B33" i="78"/>
  <c r="I32" i="78" l="1"/>
  <c r="C32" i="78"/>
  <c r="B32" i="78"/>
  <c r="I31" i="78" l="1"/>
  <c r="C31" i="78"/>
  <c r="B31" i="78"/>
  <c r="I30" i="78" l="1"/>
  <c r="C30" i="78"/>
  <c r="B30" i="78"/>
  <c r="C29" i="78" l="1"/>
  <c r="B29" i="78"/>
  <c r="I29" i="78" l="1"/>
  <c r="I28" i="78"/>
  <c r="F28" i="78"/>
  <c r="C28" i="78"/>
  <c r="B28" i="78"/>
  <c r="I27" i="78"/>
  <c r="C27" i="78"/>
  <c r="B27" i="78"/>
  <c r="I26" i="78" l="1"/>
  <c r="C26" i="78"/>
  <c r="B26" i="78"/>
  <c r="I25" i="78" l="1"/>
  <c r="C25" i="78"/>
  <c r="B25" i="78"/>
  <c r="B24" i="78" l="1"/>
  <c r="C24" i="78"/>
  <c r="F24" i="78"/>
  <c r="I24" i="78"/>
  <c r="I23" i="78" l="1"/>
  <c r="C23" i="78"/>
  <c r="B23" i="78"/>
  <c r="C20" i="78" l="1"/>
  <c r="I22" i="78" l="1"/>
  <c r="C22" i="78"/>
  <c r="B22" i="78"/>
  <c r="I21" i="78"/>
  <c r="C21" i="78"/>
  <c r="B21" i="78"/>
  <c r="I20" i="78"/>
  <c r="F20" i="78"/>
  <c r="I19" i="78" l="1"/>
  <c r="C19" i="78"/>
  <c r="B19" i="78"/>
  <c r="I18" i="78" l="1"/>
  <c r="C18" i="78"/>
  <c r="B18" i="78"/>
  <c r="I17" i="78" l="1"/>
  <c r="C17" i="78"/>
  <c r="B17" i="78"/>
  <c r="I16" i="78" l="1"/>
  <c r="C16" i="78"/>
  <c r="B16" i="78"/>
  <c r="I15" i="78" l="1"/>
  <c r="F15" i="78"/>
  <c r="C15" i="78"/>
  <c r="B15" i="78"/>
  <c r="I14" i="78"/>
  <c r="C14" i="78"/>
  <c r="B14" i="78"/>
  <c r="I13" i="78"/>
  <c r="C13" i="78"/>
  <c r="B13" i="78"/>
  <c r="F5" i="78" l="1"/>
  <c r="I9" i="78" l="1"/>
  <c r="B9" i="78"/>
  <c r="B8" i="78" l="1"/>
  <c r="B7" i="78"/>
  <c r="B6" i="78"/>
  <c r="A34" i="78" l="1"/>
  <c r="A33" i="78"/>
  <c r="A32" i="78"/>
  <c r="A5" i="78"/>
  <c r="A6" i="78" s="1"/>
  <c r="A7" i="78" s="1"/>
  <c r="A8" i="78" s="1"/>
  <c r="A9" i="78" s="1"/>
  <c r="A10" i="78" s="1"/>
  <c r="A11" i="78" s="1"/>
  <c r="A12" i="78" s="1"/>
  <c r="A13" i="78" s="1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24" i="78" s="1"/>
  <c r="A25" i="78" s="1"/>
  <c r="A26" i="78" s="1"/>
  <c r="A27" i="78" s="1"/>
  <c r="A28" i="78" s="1"/>
  <c r="A29" i="78" s="1"/>
  <c r="A30" i="78" s="1"/>
  <c r="A31" i="78" s="1"/>
  <c r="I26" i="77" l="1"/>
  <c r="C26" i="77"/>
  <c r="B26" i="77"/>
  <c r="I25" i="77" l="1"/>
  <c r="C25" i="77"/>
  <c r="B25" i="77"/>
  <c r="I24" i="77" l="1"/>
  <c r="F24" i="77"/>
  <c r="C24" i="77"/>
  <c r="B24" i="77"/>
  <c r="I23" i="77" l="1"/>
  <c r="C23" i="77"/>
  <c r="B23" i="77"/>
  <c r="I22" i="77" l="1"/>
  <c r="C22" i="77"/>
  <c r="B22" i="77"/>
  <c r="I21" i="77"/>
  <c r="C21" i="77"/>
  <c r="B21" i="77"/>
  <c r="I20" i="77"/>
  <c r="F20" i="77"/>
  <c r="C20" i="77"/>
  <c r="B20" i="77"/>
  <c r="I19" i="77" l="1"/>
  <c r="C19" i="77"/>
  <c r="B19" i="77"/>
  <c r="I18" i="77" l="1"/>
  <c r="C18" i="77"/>
  <c r="B18" i="77"/>
  <c r="I17" i="77" l="1"/>
  <c r="C17" i="77"/>
  <c r="B17" i="77"/>
  <c r="I16" i="77" l="1"/>
  <c r="C16" i="77"/>
  <c r="B16" i="77"/>
  <c r="I15" i="77" l="1"/>
  <c r="C15" i="77"/>
  <c r="B15" i="77"/>
  <c r="I14" i="77"/>
  <c r="C14" i="77"/>
  <c r="B14" i="77"/>
  <c r="I13" i="77"/>
  <c r="F13" i="77"/>
  <c r="C13" i="77"/>
  <c r="B13" i="77"/>
  <c r="I12" i="77" l="1"/>
  <c r="C12" i="77"/>
  <c r="B12" i="77"/>
  <c r="C11" i="77" l="1"/>
  <c r="I11" i="77"/>
  <c r="B11" i="77"/>
  <c r="F10" i="77"/>
  <c r="I10" i="77" l="1"/>
  <c r="C10" i="77"/>
  <c r="B10" i="77"/>
  <c r="I9" i="77" l="1"/>
  <c r="C9" i="77"/>
  <c r="B9" i="77"/>
  <c r="I8" i="77" l="1"/>
  <c r="C8" i="77"/>
  <c r="B8" i="77"/>
  <c r="I7" i="77"/>
  <c r="C7" i="77"/>
  <c r="B7" i="77"/>
  <c r="I6" i="77"/>
  <c r="C6" i="77"/>
  <c r="B6" i="77"/>
  <c r="I5" i="77" l="1"/>
  <c r="C5" i="77"/>
  <c r="B5" i="77"/>
  <c r="C4" i="77" l="1"/>
  <c r="F34" i="76"/>
  <c r="C33" i="76"/>
  <c r="C34" i="76"/>
  <c r="I4" i="77"/>
  <c r="I34" i="76"/>
  <c r="I33" i="76"/>
  <c r="B4" i="77"/>
  <c r="A5" i="77"/>
  <c r="A6" i="77" s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B34" i="76"/>
  <c r="B33" i="76"/>
  <c r="F14" i="76" l="1"/>
  <c r="F10" i="76"/>
  <c r="I32" i="76" l="1"/>
  <c r="C32" i="76"/>
  <c r="B32" i="76"/>
  <c r="I31" i="76"/>
  <c r="C31" i="76"/>
  <c r="B31" i="76"/>
  <c r="I30" i="76"/>
  <c r="C30" i="76"/>
  <c r="B30" i="76"/>
  <c r="I29" i="76" l="1"/>
  <c r="C29" i="76"/>
  <c r="B29" i="76"/>
  <c r="I28" i="76" l="1"/>
  <c r="C28" i="76"/>
  <c r="B28" i="76"/>
  <c r="F28" i="76"/>
  <c r="I27" i="76" l="1"/>
  <c r="C27" i="76"/>
  <c r="B27" i="76"/>
  <c r="C26" i="76" l="1"/>
  <c r="I26" i="76"/>
  <c r="B26" i="76"/>
  <c r="I25" i="76" l="1"/>
  <c r="C25" i="76"/>
  <c r="B25" i="76"/>
  <c r="I24" i="76"/>
  <c r="F25" i="76"/>
  <c r="C24" i="76"/>
  <c r="B24" i="76"/>
  <c r="I23" i="76"/>
  <c r="F23" i="76"/>
  <c r="C23" i="76"/>
  <c r="B23" i="76"/>
  <c r="I22" i="76" l="1"/>
  <c r="C22" i="76"/>
  <c r="B22" i="76"/>
  <c r="I21" i="76" l="1"/>
  <c r="C21" i="76"/>
  <c r="B21" i="76"/>
  <c r="I20" i="76" l="1"/>
  <c r="C20" i="76"/>
  <c r="B20" i="76"/>
  <c r="I19" i="76" l="1"/>
  <c r="C19" i="76"/>
  <c r="B19" i="76"/>
  <c r="I18" i="76" l="1"/>
  <c r="C18" i="76"/>
  <c r="B18" i="76"/>
  <c r="I17" i="76"/>
  <c r="C17" i="76"/>
  <c r="B17" i="76"/>
  <c r="I16" i="76"/>
  <c r="C16" i="76"/>
  <c r="B16" i="76"/>
  <c r="C14" i="76" l="1"/>
  <c r="I14" i="76"/>
  <c r="B14" i="76"/>
  <c r="I13" i="76" l="1"/>
  <c r="C13" i="76" l="1"/>
  <c r="B13" i="76"/>
  <c r="I12" i="76" l="1"/>
  <c r="C12" i="76"/>
  <c r="B12" i="76"/>
  <c r="I11" i="76" l="1"/>
  <c r="C11" i="76"/>
  <c r="B11" i="76"/>
  <c r="I10" i="76"/>
  <c r="C10" i="76"/>
  <c r="B10" i="76"/>
  <c r="I9" i="76"/>
  <c r="C9" i="76"/>
  <c r="B9" i="76"/>
  <c r="I8" i="76"/>
  <c r="C8" i="76"/>
  <c r="B8" i="76"/>
  <c r="I7" i="76" l="1"/>
  <c r="C7" i="76"/>
  <c r="B7" i="76"/>
  <c r="I6" i="76" l="1"/>
  <c r="C6" i="76"/>
  <c r="B6" i="76"/>
  <c r="I5" i="76" l="1"/>
  <c r="C5" i="76"/>
  <c r="B5" i="76"/>
  <c r="I34" i="75" l="1"/>
  <c r="I33" i="75"/>
  <c r="I4" i="76"/>
  <c r="C4" i="76" l="1"/>
  <c r="B4" i="76"/>
  <c r="C34" i="75"/>
  <c r="B34" i="75"/>
  <c r="C33" i="75"/>
  <c r="B33" i="75"/>
  <c r="A5" i="76"/>
  <c r="A6" i="76" s="1"/>
  <c r="A7" i="76" s="1"/>
  <c r="A8" i="76" s="1"/>
  <c r="A9" i="76" s="1"/>
  <c r="A10" i="76" s="1"/>
  <c r="A11" i="76" s="1"/>
  <c r="A12" i="76" s="1"/>
  <c r="A13" i="76" s="1"/>
  <c r="A14" i="76" s="1"/>
  <c r="A15" i="76" s="1"/>
  <c r="A16" i="76" s="1"/>
  <c r="A17" i="76" s="1"/>
  <c r="A18" i="76" s="1"/>
  <c r="A19" i="76" s="1"/>
  <c r="A20" i="76" s="1"/>
  <c r="A21" i="76" s="1"/>
  <c r="A22" i="76" s="1"/>
  <c r="A23" i="76" s="1"/>
  <c r="A24" i="76" s="1"/>
  <c r="A25" i="76" s="1"/>
  <c r="A26" i="76" s="1"/>
  <c r="A27" i="76" s="1"/>
  <c r="A28" i="76" s="1"/>
  <c r="A29" i="76" s="1"/>
  <c r="A30" i="76" s="1"/>
  <c r="A31" i="76" s="1"/>
  <c r="A32" i="76" s="1"/>
  <c r="A33" i="76" s="1"/>
  <c r="A34" i="76" s="1"/>
  <c r="I32" i="75" l="1"/>
  <c r="C32" i="75"/>
  <c r="B32" i="75"/>
  <c r="I31" i="75" l="1"/>
  <c r="C31" i="75"/>
  <c r="B31" i="75"/>
  <c r="I30" i="75" l="1"/>
  <c r="C30" i="75"/>
  <c r="B30" i="75"/>
  <c r="I29" i="75" l="1"/>
  <c r="C29" i="75"/>
  <c r="B29" i="75"/>
  <c r="I28" i="75"/>
  <c r="C28" i="75"/>
  <c r="B28" i="75"/>
  <c r="I27" i="75"/>
  <c r="C27" i="75"/>
  <c r="B27" i="75"/>
  <c r="I26" i="75"/>
  <c r="F26" i="75"/>
  <c r="C26" i="75"/>
  <c r="B26" i="75"/>
  <c r="I24" i="75" l="1"/>
  <c r="C24" i="75"/>
  <c r="B24" i="75"/>
  <c r="I23" i="75" l="1"/>
  <c r="C23" i="75"/>
  <c r="B23" i="75"/>
  <c r="I22" i="75" l="1"/>
  <c r="C22" i="75"/>
  <c r="B22" i="75"/>
  <c r="C21" i="75" l="1"/>
  <c r="C20" i="75"/>
  <c r="C19" i="75"/>
  <c r="I21" i="75"/>
  <c r="I20" i="75"/>
  <c r="I19" i="75"/>
  <c r="B21" i="75"/>
  <c r="B20" i="75"/>
  <c r="B19" i="75"/>
  <c r="I18" i="75" l="1"/>
  <c r="C18" i="75"/>
  <c r="B18" i="75"/>
  <c r="I17" i="75" l="1"/>
  <c r="C17" i="75"/>
  <c r="F16" i="75" l="1"/>
  <c r="C16" i="75"/>
  <c r="I16" i="75"/>
  <c r="B16" i="75" l="1"/>
  <c r="I15" i="75" l="1"/>
  <c r="C15" i="75"/>
  <c r="B15" i="75"/>
  <c r="I14" i="75" l="1"/>
  <c r="C14" i="75"/>
  <c r="B14" i="75"/>
  <c r="I13" i="75"/>
  <c r="C13" i="75"/>
  <c r="B13" i="75"/>
  <c r="I12" i="75"/>
  <c r="C12" i="75"/>
  <c r="B12" i="75"/>
  <c r="F11" i="75"/>
  <c r="I11" i="75" l="1"/>
  <c r="I10" i="75"/>
  <c r="I9" i="75"/>
  <c r="C11" i="75"/>
  <c r="C10" i="75"/>
  <c r="C9" i="75"/>
  <c r="I8" i="75" l="1"/>
  <c r="C8" i="75"/>
  <c r="B8" i="75"/>
  <c r="I7" i="75" l="1"/>
  <c r="F7" i="75"/>
  <c r="C7" i="75"/>
  <c r="B7" i="75"/>
  <c r="I6" i="75"/>
  <c r="C6" i="75"/>
  <c r="B6" i="75"/>
  <c r="I5" i="75"/>
  <c r="C5" i="75"/>
  <c r="B5" i="75"/>
  <c r="I4" i="75" l="1"/>
  <c r="C4" i="75"/>
  <c r="B4" i="75"/>
  <c r="A5" i="75"/>
  <c r="A6" i="75" s="1"/>
  <c r="A7" i="75" s="1"/>
  <c r="A8" i="75" s="1"/>
  <c r="A9" i="75" s="1"/>
  <c r="A10" i="75" s="1"/>
  <c r="A11" i="75" s="1"/>
  <c r="A12" i="75" s="1"/>
  <c r="A13" i="75" s="1"/>
  <c r="A14" i="75" s="1"/>
  <c r="A15" i="75" s="1"/>
  <c r="A16" i="75" s="1"/>
  <c r="A17" i="75" s="1"/>
  <c r="A18" i="75" s="1"/>
  <c r="A19" i="75" s="1"/>
  <c r="A20" i="75" s="1"/>
  <c r="A21" i="75" s="1"/>
  <c r="A22" i="75" s="1"/>
  <c r="A23" i="75" s="1"/>
  <c r="A24" i="75" s="1"/>
  <c r="A25" i="75" s="1"/>
  <c r="A26" i="75" s="1"/>
  <c r="A27" i="75" s="1"/>
  <c r="A28" i="75" s="1"/>
  <c r="A29" i="75" s="1"/>
  <c r="A30" i="75" s="1"/>
  <c r="A31" i="75" s="1"/>
  <c r="A32" i="75" s="1"/>
  <c r="A33" i="75" s="1"/>
  <c r="A34" i="75" s="1"/>
  <c r="F33" i="74" l="1"/>
  <c r="I33" i="74"/>
  <c r="C33" i="74"/>
  <c r="B33" i="74"/>
  <c r="I32" i="74" l="1"/>
  <c r="C32" i="74"/>
  <c r="B32" i="74"/>
  <c r="C31" i="74" l="1"/>
  <c r="B31" i="74"/>
  <c r="I31" i="74"/>
  <c r="H31" i="74"/>
  <c r="I17" i="74"/>
  <c r="I16" i="74"/>
  <c r="I15" i="74"/>
  <c r="I14" i="74"/>
  <c r="I30" i="74" l="1"/>
  <c r="B30" i="74"/>
  <c r="I29" i="74"/>
  <c r="F29" i="74"/>
  <c r="C29" i="74"/>
  <c r="B29" i="74"/>
  <c r="I28" i="74"/>
  <c r="C28" i="74"/>
  <c r="B28" i="74"/>
  <c r="I27" i="74" l="1"/>
  <c r="C27" i="74"/>
  <c r="B27" i="74"/>
  <c r="I26" i="74" l="1"/>
  <c r="C26" i="74"/>
  <c r="B26" i="74"/>
  <c r="I25" i="74" l="1"/>
  <c r="C25" i="74"/>
  <c r="B25" i="74"/>
  <c r="I24" i="74" l="1"/>
  <c r="C24" i="74"/>
  <c r="B24" i="74"/>
  <c r="I23" i="74" l="1"/>
  <c r="C23" i="74"/>
  <c r="B23" i="74"/>
  <c r="I22" i="74"/>
  <c r="C22" i="74"/>
  <c r="B22" i="74"/>
  <c r="I21" i="74"/>
  <c r="F21" i="74"/>
  <c r="C21" i="74"/>
  <c r="B21" i="74"/>
  <c r="I20" i="74" l="1"/>
  <c r="C20" i="74"/>
  <c r="B20" i="74"/>
  <c r="I19" i="74" l="1"/>
  <c r="C19" i="74"/>
  <c r="B19" i="74"/>
  <c r="I13" i="74" l="1"/>
  <c r="C13" i="74"/>
  <c r="B13" i="74"/>
  <c r="I12" i="74" l="1"/>
  <c r="C12" i="74"/>
  <c r="B12" i="74"/>
  <c r="C11" i="74"/>
  <c r="C10" i="74"/>
  <c r="C9" i="74"/>
  <c r="C8" i="74"/>
  <c r="C7" i="74"/>
  <c r="I11" i="74" l="1"/>
  <c r="B11" i="74"/>
  <c r="E9" i="74" l="1"/>
  <c r="F9" i="74" s="1"/>
  <c r="I10" i="74"/>
  <c r="B10" i="74"/>
  <c r="I6" i="74" l="1"/>
  <c r="C6" i="74"/>
  <c r="B6" i="74"/>
  <c r="I5" i="74" l="1"/>
  <c r="F5" i="74"/>
  <c r="C5" i="74"/>
  <c r="B5" i="74"/>
  <c r="C4" i="74" l="1"/>
  <c r="I4" i="74"/>
  <c r="B4" i="74"/>
  <c r="A6" i="74"/>
  <c r="A7" i="74" s="1"/>
  <c r="A8" i="74" s="1"/>
  <c r="A9" i="74" s="1"/>
  <c r="A10" i="74" s="1"/>
  <c r="A11" i="74" s="1"/>
  <c r="A12" i="74" s="1"/>
  <c r="A13" i="74" s="1"/>
  <c r="A14" i="74" s="1"/>
  <c r="A15" i="74" s="1"/>
  <c r="A16" i="74" s="1"/>
  <c r="A17" i="74" s="1"/>
  <c r="A18" i="74" s="1"/>
  <c r="A19" i="74" s="1"/>
  <c r="A20" i="74" s="1"/>
  <c r="A21" i="74" s="1"/>
  <c r="A22" i="74" s="1"/>
  <c r="A23" i="74" s="1"/>
  <c r="A24" i="74" s="1"/>
  <c r="A25" i="74" s="1"/>
  <c r="A26" i="74" s="1"/>
  <c r="A27" i="74" s="1"/>
  <c r="A28" i="74" s="1"/>
  <c r="A29" i="74" s="1"/>
  <c r="A30" i="74" s="1"/>
  <c r="A31" i="74" s="1"/>
  <c r="A32" i="74" s="1"/>
  <c r="A33" i="74" s="1"/>
  <c r="A5" i="74"/>
  <c r="C34" i="73" l="1"/>
  <c r="I34" i="73"/>
  <c r="B34" i="73"/>
  <c r="F32" i="73" l="1"/>
  <c r="C33" i="73"/>
  <c r="B33" i="73"/>
  <c r="C32" i="73"/>
  <c r="B32" i="73"/>
  <c r="C31" i="73"/>
  <c r="B31" i="73"/>
  <c r="C30" i="73"/>
  <c r="B30" i="73"/>
  <c r="C29" i="73" l="1"/>
  <c r="I29" i="73"/>
  <c r="B29" i="73"/>
  <c r="I28" i="73" l="1"/>
  <c r="F28" i="73"/>
  <c r="C28" i="73"/>
  <c r="B28" i="73"/>
  <c r="I27" i="73" l="1"/>
  <c r="C27" i="73"/>
  <c r="B27" i="73"/>
  <c r="I26" i="73" l="1"/>
  <c r="B26" i="73"/>
  <c r="I25" i="73"/>
  <c r="B25" i="73"/>
  <c r="I24" i="73"/>
  <c r="B24" i="73"/>
  <c r="I23" i="73" l="1"/>
  <c r="C23" i="73"/>
  <c r="B23" i="73"/>
  <c r="I22" i="73" l="1"/>
  <c r="C22" i="73"/>
  <c r="B22" i="73"/>
  <c r="C21" i="73" l="1"/>
  <c r="B21" i="73"/>
  <c r="I21" i="73"/>
  <c r="I20" i="73" l="1"/>
  <c r="F20" i="73"/>
  <c r="C20" i="73"/>
  <c r="B20" i="73"/>
  <c r="I19" i="73" l="1"/>
  <c r="C19" i="73"/>
  <c r="B19" i="73"/>
  <c r="I18" i="73"/>
  <c r="C18" i="73"/>
  <c r="B18" i="73"/>
  <c r="I17" i="73"/>
  <c r="C17" i="73"/>
  <c r="B17" i="73"/>
  <c r="I16" i="73" l="1"/>
  <c r="C16" i="73"/>
  <c r="B16" i="73"/>
  <c r="I15" i="73" l="1"/>
  <c r="C15" i="73"/>
  <c r="B15" i="73"/>
  <c r="I14" i="73" l="1"/>
  <c r="C14" i="73"/>
  <c r="B14" i="73"/>
  <c r="I13" i="73" l="1"/>
  <c r="C13" i="73"/>
  <c r="B13" i="73"/>
  <c r="I12" i="73" l="1"/>
  <c r="C12" i="73"/>
  <c r="B12" i="73"/>
  <c r="I11" i="73"/>
  <c r="C11" i="73"/>
  <c r="B11" i="73"/>
  <c r="I10" i="73"/>
  <c r="C10" i="73"/>
  <c r="B10" i="73"/>
  <c r="F9" i="73" l="1"/>
  <c r="I9" i="73"/>
  <c r="C9" i="73"/>
  <c r="B9" i="73"/>
  <c r="I8" i="73" l="1"/>
  <c r="C8" i="73"/>
  <c r="B8" i="73"/>
  <c r="I7" i="73" l="1"/>
  <c r="C7" i="73"/>
  <c r="B7" i="73"/>
  <c r="I6" i="73" l="1"/>
  <c r="C6" i="73"/>
  <c r="B6" i="73"/>
  <c r="I33" i="72" l="1"/>
  <c r="C33" i="72"/>
  <c r="B33" i="72"/>
  <c r="I5" i="73"/>
  <c r="F5" i="73"/>
  <c r="C5" i="73"/>
  <c r="B5" i="73"/>
  <c r="I4" i="73"/>
  <c r="C4" i="73"/>
  <c r="B4" i="73"/>
  <c r="A5" i="73"/>
  <c r="A6" i="73" s="1"/>
  <c r="A7" i="73" s="1"/>
  <c r="A8" i="73" s="1"/>
  <c r="A9" i="73" s="1"/>
  <c r="A10" i="73" s="1"/>
  <c r="A11" i="73" s="1"/>
  <c r="A12" i="73" s="1"/>
  <c r="A13" i="73" s="1"/>
  <c r="A14" i="73" s="1"/>
  <c r="A15" i="73" s="1"/>
  <c r="A16" i="73" s="1"/>
  <c r="A17" i="73" s="1"/>
  <c r="A18" i="73" s="1"/>
  <c r="A19" i="73" s="1"/>
  <c r="A20" i="73" s="1"/>
  <c r="A21" i="73" s="1"/>
  <c r="A22" i="73" s="1"/>
  <c r="A23" i="73" s="1"/>
  <c r="A24" i="73" s="1"/>
  <c r="A25" i="73" s="1"/>
  <c r="A26" i="73" s="1"/>
  <c r="A27" i="73" s="1"/>
  <c r="A28" i="73" s="1"/>
  <c r="A29" i="73" s="1"/>
  <c r="A30" i="73" s="1"/>
  <c r="A31" i="73" s="1"/>
  <c r="A32" i="73" s="1"/>
  <c r="A33" i="73" s="1"/>
  <c r="A34" i="73" s="1"/>
  <c r="I32" i="72" l="1"/>
  <c r="C32" i="72"/>
  <c r="B32" i="72"/>
  <c r="I31" i="72" l="1"/>
  <c r="F31" i="72"/>
  <c r="C31" i="72"/>
  <c r="B31" i="72"/>
  <c r="I30" i="72" l="1"/>
  <c r="C30" i="72"/>
  <c r="B30" i="72"/>
  <c r="I29" i="72" l="1"/>
  <c r="C29" i="72"/>
  <c r="B29" i="72"/>
  <c r="F27" i="72" l="1"/>
  <c r="I28" i="72"/>
  <c r="C28" i="72"/>
  <c r="B28" i="72"/>
  <c r="I27" i="72"/>
  <c r="C27" i="72"/>
  <c r="B27" i="72"/>
  <c r="I26" i="72"/>
  <c r="C26" i="72"/>
  <c r="B26" i="72"/>
  <c r="I25" i="72" l="1"/>
  <c r="C25" i="72"/>
  <c r="B25" i="72"/>
  <c r="C24" i="72" l="1"/>
  <c r="I24" i="72"/>
  <c r="B24" i="72"/>
  <c r="I23" i="72" l="1"/>
  <c r="F23" i="72"/>
  <c r="C23" i="72"/>
  <c r="B23" i="72"/>
  <c r="I22" i="72" l="1"/>
  <c r="C22" i="72"/>
  <c r="B22" i="72"/>
  <c r="B21" i="72" l="1"/>
  <c r="B20" i="72"/>
  <c r="B19" i="72"/>
  <c r="C21" i="72"/>
  <c r="C20" i="72"/>
  <c r="C19" i="72"/>
  <c r="I21" i="72"/>
  <c r="I20" i="72"/>
  <c r="I19" i="72"/>
  <c r="I18" i="72" l="1"/>
  <c r="C18" i="72"/>
  <c r="B18" i="72"/>
  <c r="I17" i="72" l="1"/>
  <c r="C17" i="72"/>
  <c r="B17" i="72"/>
  <c r="I16" i="72" l="1"/>
  <c r="F16" i="72"/>
  <c r="C16" i="72"/>
  <c r="B16" i="72"/>
  <c r="I15" i="72" l="1"/>
  <c r="C15" i="72"/>
  <c r="B15" i="72"/>
  <c r="I14" i="72" l="1"/>
  <c r="C14" i="72"/>
  <c r="B14" i="72"/>
  <c r="I13" i="72"/>
  <c r="C13" i="72"/>
  <c r="B13" i="72"/>
  <c r="I12" i="72"/>
  <c r="F12" i="72"/>
  <c r="C12" i="72"/>
  <c r="B12" i="72"/>
  <c r="I11" i="72" l="1"/>
  <c r="C11" i="72"/>
  <c r="B11" i="72"/>
  <c r="I10" i="72" l="1"/>
  <c r="C10" i="72"/>
  <c r="B10" i="72"/>
  <c r="I9" i="72" l="1"/>
  <c r="C9" i="72"/>
  <c r="B9" i="72"/>
  <c r="I8" i="72" l="1"/>
  <c r="B5" i="72"/>
  <c r="B6" i="72"/>
  <c r="B7" i="72"/>
  <c r="B8" i="72"/>
  <c r="C8" i="72"/>
  <c r="C7" i="72"/>
  <c r="C6" i="72"/>
  <c r="C5" i="72"/>
  <c r="I7" i="72" l="1"/>
  <c r="I6" i="72"/>
  <c r="I5" i="72"/>
  <c r="F7" i="72"/>
  <c r="B16" i="70" l="1"/>
  <c r="B15" i="70"/>
  <c r="B14" i="70"/>
  <c r="F4" i="72"/>
  <c r="I4" i="72"/>
  <c r="C4" i="72"/>
  <c r="B4" i="72"/>
  <c r="A5" i="72"/>
  <c r="A6" i="72" s="1"/>
  <c r="A7" i="72" s="1"/>
  <c r="A8" i="72" s="1"/>
  <c r="A9" i="72" s="1"/>
  <c r="A10" i="72" s="1"/>
  <c r="A11" i="72" s="1"/>
  <c r="A12" i="72" s="1"/>
  <c r="A13" i="72" s="1"/>
  <c r="A14" i="72" s="1"/>
  <c r="A15" i="72" s="1"/>
  <c r="A16" i="72" s="1"/>
  <c r="A17" i="72" s="1"/>
  <c r="A18" i="72" s="1"/>
  <c r="A19" i="72" s="1"/>
  <c r="A20" i="72" s="1"/>
  <c r="A21" i="72" s="1"/>
  <c r="A22" i="72" s="1"/>
  <c r="A23" i="72" s="1"/>
  <c r="A24" i="72" s="1"/>
  <c r="A25" i="72" s="1"/>
  <c r="A26" i="72" s="1"/>
  <c r="A27" i="72" s="1"/>
  <c r="A28" i="72" s="1"/>
  <c r="A29" i="72" s="1"/>
  <c r="A30" i="72" s="1"/>
  <c r="A31" i="72" s="1"/>
  <c r="A32" i="72" s="1"/>
  <c r="A33" i="72" s="1"/>
  <c r="I34" i="70" l="1"/>
  <c r="C34" i="70"/>
  <c r="B34" i="70"/>
  <c r="I33" i="70" l="1"/>
  <c r="C33" i="70"/>
  <c r="B33" i="70"/>
  <c r="I32" i="70" l="1"/>
  <c r="C32" i="70"/>
  <c r="B32" i="70"/>
  <c r="I31" i="70" l="1"/>
  <c r="C31" i="70"/>
  <c r="B31" i="70"/>
  <c r="I30" i="70"/>
  <c r="F30" i="70"/>
  <c r="C30" i="70"/>
  <c r="B30" i="70"/>
  <c r="I29" i="70"/>
  <c r="C29" i="70"/>
  <c r="B29" i="70"/>
  <c r="I28" i="70" l="1"/>
  <c r="C28" i="70"/>
  <c r="B28" i="70"/>
  <c r="I27" i="70" l="1"/>
  <c r="C27" i="70"/>
  <c r="B27" i="70"/>
  <c r="C22" i="70" l="1"/>
  <c r="C33" i="71" l="1"/>
  <c r="I7" i="70" l="1"/>
  <c r="I6" i="70" l="1"/>
  <c r="I5" i="70" l="1"/>
  <c r="I4" i="70" l="1"/>
  <c r="A5" i="70"/>
  <c r="A6" i="70" s="1"/>
  <c r="A7" i="70" s="1"/>
  <c r="A8" i="70" s="1"/>
  <c r="A9" i="70" s="1"/>
  <c r="A10" i="70" s="1"/>
  <c r="A11" i="70" s="1"/>
  <c r="A12" i="70" s="1"/>
  <c r="A13" i="70" s="1"/>
  <c r="A14" i="70" s="1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I34" i="71" l="1"/>
  <c r="I33" i="71"/>
  <c r="I32" i="71"/>
  <c r="C32" i="71"/>
  <c r="I31" i="71" l="1"/>
  <c r="F31" i="71"/>
  <c r="C31" i="71"/>
  <c r="B31" i="71"/>
  <c r="I30" i="71" l="1"/>
  <c r="C30" i="71"/>
  <c r="B30" i="71"/>
  <c r="I29" i="71" l="1"/>
  <c r="C29" i="71"/>
  <c r="B29" i="71"/>
  <c r="I28" i="71" l="1"/>
  <c r="C28" i="71"/>
  <c r="B28" i="71"/>
  <c r="I27" i="71" l="1"/>
  <c r="C27" i="71"/>
  <c r="B27" i="71"/>
  <c r="I26" i="71"/>
  <c r="C26" i="71"/>
  <c r="B26" i="71"/>
  <c r="I25" i="71"/>
  <c r="F25" i="71"/>
  <c r="C25" i="71"/>
  <c r="B25" i="71"/>
  <c r="C24" i="71"/>
  <c r="I23" i="71" l="1"/>
  <c r="C23" i="71"/>
  <c r="B23" i="71"/>
  <c r="I22" i="71" l="1"/>
  <c r="C22" i="71"/>
  <c r="B22" i="71"/>
  <c r="F21" i="71"/>
  <c r="I21" i="71" l="1"/>
  <c r="C21" i="71"/>
  <c r="B21" i="71"/>
  <c r="I20" i="71" l="1"/>
  <c r="C20" i="71"/>
  <c r="B20" i="71"/>
  <c r="I19" i="71"/>
  <c r="C19" i="71"/>
  <c r="B19" i="71"/>
  <c r="I18" i="71"/>
  <c r="F18" i="71"/>
  <c r="I17" i="71" l="1"/>
  <c r="I16" i="71" l="1"/>
  <c r="I15" i="71" l="1"/>
  <c r="I14" i="71" l="1"/>
  <c r="F13" i="71" l="1"/>
  <c r="F6" i="71"/>
  <c r="I13" i="71"/>
  <c r="I12" i="71"/>
  <c r="I11" i="71"/>
  <c r="I10" i="71" l="1"/>
  <c r="I9" i="71" l="1"/>
  <c r="I8" i="71" l="1"/>
  <c r="I7" i="71" l="1"/>
  <c r="A5" i="71" l="1"/>
  <c r="A6" i="71" s="1"/>
  <c r="A7" i="71" s="1"/>
  <c r="A8" i="71" s="1"/>
  <c r="A9" i="71" s="1"/>
  <c r="A10" i="71" s="1"/>
  <c r="A11" i="71" s="1"/>
  <c r="A12" i="71" s="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I33" i="69" l="1"/>
  <c r="C33" i="69"/>
  <c r="B33" i="69"/>
  <c r="I32" i="69" l="1"/>
  <c r="F32" i="69"/>
  <c r="C32" i="69"/>
  <c r="B32" i="69"/>
  <c r="I31" i="69" l="1"/>
  <c r="C31" i="69"/>
  <c r="B31" i="69"/>
  <c r="I30" i="69" l="1"/>
  <c r="C30" i="69"/>
  <c r="B30" i="69"/>
  <c r="I29" i="69" l="1"/>
  <c r="C29" i="69"/>
  <c r="B29" i="69"/>
  <c r="I28" i="69"/>
  <c r="F28" i="69"/>
  <c r="C28" i="69"/>
  <c r="B28" i="69"/>
  <c r="I27" i="69"/>
  <c r="C27" i="69"/>
  <c r="B27" i="69"/>
  <c r="I26" i="69" l="1"/>
  <c r="C26" i="69"/>
  <c r="B26" i="69"/>
  <c r="F24" i="69" l="1"/>
  <c r="F20" i="69"/>
  <c r="I25" i="69"/>
  <c r="C25" i="69"/>
  <c r="B25" i="69"/>
  <c r="I19" i="69" l="1"/>
  <c r="C19" i="69"/>
  <c r="B19" i="69"/>
  <c r="I18" i="69" l="1"/>
  <c r="C18" i="69"/>
  <c r="B18" i="69"/>
  <c r="I17" i="69" l="1"/>
  <c r="C17" i="69"/>
  <c r="B17" i="69"/>
  <c r="F16" i="69" l="1"/>
  <c r="I16" i="69"/>
  <c r="C16" i="69"/>
  <c r="B16" i="69"/>
  <c r="I15" i="69" l="1"/>
  <c r="C15" i="69"/>
  <c r="B15" i="69"/>
  <c r="I14" i="69"/>
  <c r="C14" i="69"/>
  <c r="B14" i="69"/>
  <c r="I13" i="69"/>
  <c r="C13" i="69"/>
  <c r="B13" i="69"/>
  <c r="I12" i="69" l="1"/>
  <c r="C12" i="69"/>
  <c r="B12" i="69"/>
  <c r="I11" i="69" l="1"/>
  <c r="C11" i="69"/>
  <c r="B11" i="69"/>
  <c r="I10" i="69" l="1"/>
  <c r="C10" i="69"/>
  <c r="I8" i="69" l="1"/>
  <c r="I7" i="69"/>
  <c r="I6" i="69"/>
  <c r="F8" i="69"/>
  <c r="C8" i="69"/>
  <c r="B8" i="69"/>
  <c r="C7" i="69"/>
  <c r="B7" i="69"/>
  <c r="C6" i="69"/>
  <c r="B6" i="69"/>
  <c r="E4" i="69" l="1"/>
  <c r="F4" i="69" s="1"/>
  <c r="C5" i="69"/>
  <c r="B5" i="69"/>
  <c r="C4" i="69"/>
  <c r="B4" i="69"/>
  <c r="B29" i="68" l="1"/>
  <c r="A5" i="69"/>
  <c r="A6" i="69" s="1"/>
  <c r="A7" i="69" s="1"/>
  <c r="A8" i="69" s="1"/>
  <c r="A9" i="69" s="1"/>
  <c r="A10" i="69" s="1"/>
  <c r="A11" i="69" s="1"/>
  <c r="A12" i="69" s="1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A27" i="69" s="1"/>
  <c r="A28" i="69" s="1"/>
  <c r="A29" i="69" s="1"/>
  <c r="A30" i="69" s="1"/>
  <c r="A31" i="69" s="1"/>
  <c r="A32" i="69" s="1"/>
  <c r="A33" i="69" s="1"/>
  <c r="I34" i="68"/>
  <c r="C34" i="68"/>
  <c r="I33" i="68" l="1"/>
  <c r="C33" i="68"/>
  <c r="F31" i="68" l="1"/>
  <c r="I32" i="68"/>
  <c r="I31" i="68"/>
  <c r="I30" i="68"/>
  <c r="C32" i="68"/>
  <c r="C31" i="68"/>
  <c r="C30" i="68"/>
  <c r="C29" i="68" l="1"/>
  <c r="I29" i="68"/>
  <c r="I28" i="68" l="1"/>
  <c r="C28" i="68"/>
  <c r="B28" i="68"/>
  <c r="I27" i="68" l="1"/>
  <c r="F27" i="68"/>
  <c r="C27" i="68"/>
  <c r="B27" i="68"/>
  <c r="I26" i="68" l="1"/>
  <c r="C26" i="68"/>
  <c r="B26" i="68"/>
  <c r="I25" i="68" l="1"/>
  <c r="C25" i="68"/>
  <c r="B25" i="68"/>
  <c r="I24" i="68"/>
  <c r="C24" i="68"/>
  <c r="B24" i="68"/>
  <c r="I23" i="68"/>
  <c r="F23" i="68"/>
  <c r="C23" i="68"/>
  <c r="B23" i="68"/>
  <c r="I22" i="68" l="1"/>
  <c r="C22" i="68"/>
  <c r="B22" i="68"/>
  <c r="I21" i="68" l="1"/>
  <c r="C21" i="68"/>
  <c r="B21" i="68"/>
  <c r="I20" i="68" l="1"/>
  <c r="C20" i="68"/>
  <c r="I19" i="68" l="1"/>
  <c r="C19" i="68"/>
  <c r="I18" i="68" l="1"/>
  <c r="C18" i="68"/>
  <c r="B18" i="68"/>
  <c r="I17" i="68"/>
  <c r="C17" i="68"/>
  <c r="B17" i="68"/>
  <c r="I16" i="68"/>
  <c r="C16" i="68"/>
  <c r="B16" i="68"/>
  <c r="I15" i="68" l="1"/>
  <c r="C15" i="68"/>
  <c r="B15" i="68"/>
  <c r="I14" i="68" l="1"/>
  <c r="C14" i="68"/>
  <c r="B14" i="68"/>
  <c r="I13" i="68" l="1"/>
  <c r="C13" i="68"/>
  <c r="B13" i="68"/>
  <c r="I12" i="68" l="1"/>
  <c r="C12" i="68"/>
  <c r="B12" i="68"/>
  <c r="F11" i="68" l="1"/>
  <c r="I11" i="68"/>
  <c r="C11" i="68"/>
  <c r="B11" i="68"/>
  <c r="I10" i="68"/>
  <c r="C10" i="68"/>
  <c r="B10" i="68"/>
  <c r="I9" i="68"/>
  <c r="C9" i="68"/>
  <c r="B9" i="68"/>
  <c r="I8" i="68" l="1"/>
  <c r="C8" i="68"/>
  <c r="B8" i="68"/>
  <c r="I7" i="68" l="1"/>
  <c r="C7" i="68"/>
  <c r="B7" i="68"/>
  <c r="I6" i="68" l="1"/>
  <c r="C6" i="68"/>
  <c r="B6" i="68"/>
  <c r="I5" i="68" l="1"/>
  <c r="C5" i="68"/>
  <c r="B5" i="68"/>
  <c r="I33" i="67" l="1"/>
  <c r="C33" i="67"/>
  <c r="B33" i="67"/>
  <c r="I32" i="67"/>
  <c r="C32" i="67"/>
  <c r="B32" i="67"/>
  <c r="I4" i="68"/>
  <c r="F4" i="68"/>
  <c r="C4" i="68"/>
  <c r="B4" i="68"/>
  <c r="A5" i="68"/>
  <c r="A6" i="68" s="1"/>
  <c r="A7" i="68" s="1"/>
  <c r="A8" i="68" s="1"/>
  <c r="A9" i="68" s="1"/>
  <c r="A10" i="68" s="1"/>
  <c r="A11" i="68" s="1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31" i="68" s="1"/>
  <c r="A32" i="68" s="1"/>
  <c r="A33" i="68" s="1"/>
  <c r="A34" i="68" s="1"/>
  <c r="I31" i="67" l="1"/>
  <c r="C31" i="67"/>
  <c r="B31" i="67"/>
  <c r="I30" i="67" l="1"/>
  <c r="F30" i="67"/>
  <c r="C30" i="67"/>
  <c r="B30" i="67"/>
  <c r="I29" i="67" l="1"/>
  <c r="C29" i="67"/>
  <c r="B29" i="67"/>
  <c r="I28" i="67" l="1"/>
  <c r="C28" i="67"/>
  <c r="B28" i="67"/>
  <c r="I27" i="67"/>
  <c r="C27" i="67"/>
  <c r="B27" i="67"/>
  <c r="I26" i="67"/>
  <c r="C26" i="67"/>
  <c r="B26" i="67"/>
  <c r="I25" i="67"/>
  <c r="F25" i="67"/>
  <c r="C25" i="67"/>
  <c r="B25" i="67"/>
  <c r="I24" i="67" l="1"/>
  <c r="C24" i="67"/>
  <c r="B24" i="67"/>
  <c r="I17" i="67" l="1"/>
  <c r="C17" i="67"/>
  <c r="B17" i="67"/>
  <c r="I16" i="67" l="1"/>
  <c r="C16" i="67"/>
  <c r="B16" i="67"/>
  <c r="I15" i="67" l="1"/>
  <c r="C15" i="67"/>
  <c r="B15" i="67"/>
  <c r="I14" i="67" l="1"/>
  <c r="F14" i="67"/>
  <c r="C14" i="67"/>
  <c r="B14" i="67"/>
  <c r="I11" i="67" l="1"/>
  <c r="I13" i="67"/>
  <c r="C13" i="67"/>
  <c r="B13" i="67"/>
  <c r="I12" i="67"/>
  <c r="C12" i="67"/>
  <c r="B12" i="67"/>
  <c r="C11" i="67"/>
  <c r="B11" i="67"/>
  <c r="I10" i="67" l="1"/>
  <c r="C10" i="67"/>
  <c r="B10" i="67"/>
  <c r="B9" i="67" l="1"/>
  <c r="B8" i="67" l="1"/>
  <c r="B7" i="67" l="1"/>
  <c r="B6" i="67" l="1"/>
  <c r="F5" i="67"/>
  <c r="B5" i="67"/>
  <c r="A5" i="67"/>
  <c r="A6" i="67" s="1"/>
  <c r="A7" i="67" s="1"/>
  <c r="A8" i="67" s="1"/>
  <c r="A9" i="67" s="1"/>
  <c r="A10" i="67" s="1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33" i="67" s="1"/>
  <c r="B4" i="67"/>
  <c r="I34" i="66" l="1"/>
  <c r="B34" i="66"/>
  <c r="I33" i="66" l="1"/>
  <c r="B33" i="66"/>
  <c r="C33" i="66"/>
  <c r="I32" i="66" l="1"/>
  <c r="I31" i="66"/>
  <c r="I30" i="66"/>
  <c r="I29" i="66"/>
  <c r="I28" i="66"/>
  <c r="C31" i="66"/>
  <c r="C30" i="66"/>
  <c r="C29" i="66"/>
  <c r="C28" i="66"/>
  <c r="B32" i="66"/>
  <c r="C32" i="66" s="1"/>
  <c r="I27" i="66" l="1"/>
  <c r="B27" i="66"/>
  <c r="C27" i="66" s="1"/>
  <c r="I26" i="66" l="1"/>
  <c r="B26" i="66"/>
  <c r="C26" i="66" s="1"/>
  <c r="I25" i="66" l="1"/>
  <c r="B25" i="66"/>
  <c r="C25" i="66" s="1"/>
  <c r="I24" i="66" l="1"/>
  <c r="B24" i="66"/>
  <c r="C24" i="66" s="1"/>
  <c r="I23" i="66" l="1"/>
  <c r="B23" i="66"/>
  <c r="C23" i="66" s="1"/>
  <c r="I22" i="66"/>
  <c r="B22" i="66"/>
  <c r="C22" i="66" s="1"/>
  <c r="I21" i="66"/>
  <c r="B21" i="66"/>
  <c r="C21" i="66" s="1"/>
  <c r="F17" i="66" l="1"/>
  <c r="I20" i="66"/>
  <c r="B20" i="66"/>
  <c r="C20" i="66" s="1"/>
  <c r="I19" i="66" l="1"/>
  <c r="B19" i="66"/>
  <c r="C19" i="66" s="1"/>
  <c r="I18" i="66" l="1"/>
  <c r="B18" i="66"/>
  <c r="C18" i="66" s="1"/>
  <c r="I17" i="66" l="1"/>
  <c r="B17" i="66"/>
  <c r="C17" i="66" s="1"/>
  <c r="I16" i="66" l="1"/>
  <c r="B16" i="66"/>
  <c r="C16" i="66" s="1"/>
  <c r="I15" i="66"/>
  <c r="B15" i="66"/>
  <c r="C15" i="66" s="1"/>
  <c r="I14" i="66"/>
  <c r="B14" i="66"/>
  <c r="C14" i="66" s="1"/>
  <c r="F13" i="66" l="1"/>
  <c r="I13" i="66"/>
  <c r="B13" i="66"/>
  <c r="C13" i="66" s="1"/>
  <c r="I12" i="66" l="1"/>
  <c r="B12" i="66"/>
  <c r="C12" i="66" s="1"/>
  <c r="I11" i="66" l="1"/>
  <c r="B11" i="66"/>
  <c r="C11" i="66" s="1"/>
  <c r="I10" i="66" l="1"/>
  <c r="B10" i="66"/>
  <c r="C10" i="66" s="1"/>
  <c r="I9" i="66" l="1"/>
  <c r="B9" i="66"/>
  <c r="C9" i="66" s="1"/>
  <c r="I8" i="66"/>
  <c r="B8" i="66"/>
  <c r="C8" i="66" s="1"/>
  <c r="I7" i="66"/>
  <c r="F7" i="66"/>
  <c r="B7" i="66"/>
  <c r="C7" i="66" s="1"/>
  <c r="I6" i="66" l="1"/>
  <c r="B6" i="66"/>
  <c r="C6" i="66" s="1"/>
  <c r="I5" i="66" l="1"/>
  <c r="B5" i="66"/>
  <c r="C5" i="66" s="1"/>
  <c r="F4" i="66" l="1"/>
  <c r="I4" i="66"/>
  <c r="B4" i="66"/>
  <c r="C4" i="66" s="1"/>
  <c r="A5" i="66"/>
  <c r="A6" i="66" s="1"/>
  <c r="A7" i="66" s="1"/>
  <c r="A8" i="66" s="1"/>
  <c r="A9" i="66" s="1"/>
  <c r="A10" i="66" s="1"/>
  <c r="A11" i="66" s="1"/>
  <c r="A12" i="66" s="1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31" i="66" s="1"/>
  <c r="A32" i="66" s="1"/>
  <c r="A33" i="66" s="1"/>
  <c r="A34" i="66" s="1"/>
  <c r="I32" i="65" l="1"/>
  <c r="B32" i="65"/>
  <c r="C32" i="65"/>
  <c r="I29" i="65"/>
  <c r="I30" i="65"/>
  <c r="I31" i="65"/>
  <c r="B31" i="65"/>
  <c r="C31" i="65"/>
  <c r="B30" i="65"/>
  <c r="C30" i="65" s="1"/>
  <c r="B29" i="65"/>
  <c r="C29" i="65"/>
  <c r="I28" i="65"/>
  <c r="I26" i="65"/>
  <c r="F26" i="65"/>
  <c r="B26" i="65"/>
  <c r="C26" i="65" s="1"/>
  <c r="I25" i="65"/>
  <c r="B25" i="65"/>
  <c r="C25" i="65" s="1"/>
  <c r="I24" i="65"/>
  <c r="B24" i="65"/>
  <c r="C24" i="65"/>
  <c r="I23" i="65"/>
  <c r="B23" i="65"/>
  <c r="C23" i="65" s="1"/>
  <c r="I22" i="65"/>
  <c r="B22" i="65"/>
  <c r="C22" i="65" s="1"/>
  <c r="I21" i="65"/>
  <c r="B21" i="65"/>
  <c r="C21" i="65"/>
  <c r="F20" i="65"/>
  <c r="I20" i="65"/>
  <c r="B20" i="65"/>
  <c r="C20" i="65"/>
  <c r="I19" i="65"/>
  <c r="B19" i="65"/>
  <c r="C19" i="65"/>
  <c r="I18" i="65"/>
  <c r="B18" i="65"/>
  <c r="C18" i="65" s="1"/>
  <c r="F15" i="65"/>
  <c r="I17" i="65"/>
  <c r="B17" i="65"/>
  <c r="C17" i="65" s="1"/>
  <c r="I16" i="65"/>
  <c r="B16" i="65"/>
  <c r="C16" i="65" s="1"/>
  <c r="I15" i="65"/>
  <c r="B15" i="65"/>
  <c r="C15" i="65" s="1"/>
  <c r="I14" i="65"/>
  <c r="B14" i="65"/>
  <c r="C14" i="65"/>
  <c r="B13" i="65"/>
  <c r="C13" i="65" s="1"/>
  <c r="I13" i="65"/>
  <c r="I12" i="65"/>
  <c r="B12" i="65"/>
  <c r="C12" i="65" s="1"/>
  <c r="F10" i="65"/>
  <c r="I11" i="65"/>
  <c r="B11" i="65"/>
  <c r="C11" i="65" s="1"/>
  <c r="I10" i="65"/>
  <c r="B10" i="65"/>
  <c r="C10" i="65" s="1"/>
  <c r="I9" i="65"/>
  <c r="B9" i="65"/>
  <c r="C9" i="65"/>
  <c r="I8" i="65"/>
  <c r="B8" i="65"/>
  <c r="C8" i="65" s="1"/>
  <c r="I7" i="65"/>
  <c r="F7" i="65"/>
  <c r="B7" i="65"/>
  <c r="C7" i="65" s="1"/>
  <c r="I6" i="65"/>
  <c r="B6" i="65"/>
  <c r="C6" i="65" s="1"/>
  <c r="I5" i="65"/>
  <c r="B5" i="65"/>
  <c r="C5" i="65" s="1"/>
  <c r="I34" i="64"/>
  <c r="B34" i="64"/>
  <c r="C34" i="64"/>
  <c r="I33" i="64"/>
  <c r="F33" i="64"/>
  <c r="B33" i="64"/>
  <c r="C33" i="64"/>
  <c r="I32" i="64"/>
  <c r="B32" i="64"/>
  <c r="C32" i="64" s="1"/>
  <c r="A5" i="65"/>
  <c r="A6" i="65" s="1"/>
  <c r="A7" i="65" s="1"/>
  <c r="A8" i="65" s="1"/>
  <c r="A9" i="65" s="1"/>
  <c r="A10" i="65" s="1"/>
  <c r="A11" i="65" s="1"/>
  <c r="A12" i="65" s="1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A30" i="65" s="1"/>
  <c r="A31" i="65" s="1"/>
  <c r="A32" i="65" s="1"/>
  <c r="I4" i="65"/>
  <c r="B4" i="65"/>
  <c r="C4" i="65" s="1"/>
  <c r="I31" i="64"/>
  <c r="B31" i="64"/>
  <c r="C31" i="64" s="1"/>
  <c r="I30" i="64"/>
  <c r="F30" i="64"/>
  <c r="B30" i="64"/>
  <c r="C30" i="64" s="1"/>
  <c r="I29" i="64"/>
  <c r="B29" i="64"/>
  <c r="C29" i="64"/>
  <c r="I28" i="64"/>
  <c r="B28" i="64"/>
  <c r="C28" i="64" s="1"/>
  <c r="I27" i="64"/>
  <c r="B27" i="64"/>
  <c r="C27" i="64" s="1"/>
  <c r="I26" i="64"/>
  <c r="B26" i="64"/>
  <c r="C26" i="64" s="1"/>
  <c r="I25" i="64"/>
  <c r="F25" i="64"/>
  <c r="B25" i="64"/>
  <c r="C25" i="64" s="1"/>
  <c r="I24" i="64"/>
  <c r="B24" i="64"/>
  <c r="C24" i="64"/>
  <c r="I23" i="64"/>
  <c r="B23" i="64"/>
  <c r="C23" i="64" s="1"/>
  <c r="I22" i="64"/>
  <c r="B22" i="64"/>
  <c r="C22" i="64" s="1"/>
  <c r="I21" i="64"/>
  <c r="F21" i="64"/>
  <c r="B21" i="64"/>
  <c r="C21" i="64" s="1"/>
  <c r="I20" i="64"/>
  <c r="C20" i="64"/>
  <c r="B20" i="64"/>
  <c r="I19" i="64"/>
  <c r="B19" i="64"/>
  <c r="C19" i="64" s="1"/>
  <c r="I18" i="64"/>
  <c r="B18" i="64"/>
  <c r="C18" i="64" s="1"/>
  <c r="I17" i="64"/>
  <c r="C17" i="64"/>
  <c r="B17" i="64"/>
  <c r="I16" i="64"/>
  <c r="B16" i="64"/>
  <c r="C16" i="64" s="1"/>
  <c r="I15" i="64"/>
  <c r="F15" i="64"/>
  <c r="B15" i="64"/>
  <c r="C15" i="64"/>
  <c r="I14" i="64"/>
  <c r="C14" i="64"/>
  <c r="I13" i="64"/>
  <c r="B13" i="64"/>
  <c r="C13" i="64" s="1"/>
  <c r="I12" i="64"/>
  <c r="B12" i="64"/>
  <c r="C12" i="64" s="1"/>
  <c r="I11" i="64"/>
  <c r="B11" i="64"/>
  <c r="C11" i="64" s="1"/>
  <c r="I10" i="64"/>
  <c r="C10" i="64"/>
  <c r="I8" i="64"/>
  <c r="I9" i="64"/>
  <c r="B9" i="64"/>
  <c r="C9" i="64" s="1"/>
  <c r="B8" i="64"/>
  <c r="C8" i="64" s="1"/>
  <c r="I7" i="64"/>
  <c r="C7" i="64"/>
  <c r="F7" i="64"/>
  <c r="I5" i="64"/>
  <c r="I6" i="64"/>
  <c r="C5" i="64"/>
  <c r="C6" i="64"/>
  <c r="A7" i="64"/>
  <c r="A8" i="64" s="1"/>
  <c r="A9" i="64" s="1"/>
  <c r="A10" i="64" s="1"/>
  <c r="A11" i="64" s="1"/>
  <c r="A12" i="64"/>
  <c r="A13" i="64" s="1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A31" i="64" s="1"/>
  <c r="A32" i="64" s="1"/>
  <c r="A33" i="64" s="1"/>
  <c r="A34" i="64" s="1"/>
  <c r="A5" i="64"/>
  <c r="A6" i="64" s="1"/>
  <c r="I4" i="64"/>
  <c r="C4" i="64"/>
  <c r="I34" i="63"/>
  <c r="C34" i="63"/>
  <c r="I33" i="63"/>
  <c r="F33" i="63"/>
  <c r="C33" i="63"/>
  <c r="I32" i="63"/>
  <c r="C32" i="63"/>
  <c r="I31" i="63"/>
  <c r="C31" i="63"/>
  <c r="F29" i="63"/>
  <c r="I30" i="63"/>
  <c r="C30" i="63"/>
  <c r="I29" i="63"/>
  <c r="C29" i="63"/>
  <c r="I28" i="63"/>
  <c r="C28" i="63"/>
  <c r="I27" i="63"/>
  <c r="C27" i="63"/>
  <c r="I26" i="63"/>
  <c r="C26" i="63"/>
  <c r="I25" i="63"/>
  <c r="F25" i="63"/>
  <c r="C25" i="63"/>
  <c r="I24" i="63"/>
  <c r="C24" i="63"/>
  <c r="I23" i="63"/>
  <c r="C23" i="63"/>
  <c r="I22" i="63"/>
  <c r="C22" i="63"/>
  <c r="I21" i="63"/>
  <c r="F21" i="63"/>
  <c r="C21" i="63"/>
  <c r="I20" i="63"/>
  <c r="C20" i="63"/>
  <c r="C19" i="63"/>
  <c r="I19" i="63"/>
  <c r="I18" i="63"/>
  <c r="C18" i="63"/>
  <c r="I17" i="63"/>
  <c r="C17" i="63"/>
  <c r="I16" i="63"/>
  <c r="C16" i="63"/>
  <c r="I15" i="63"/>
  <c r="C15" i="63"/>
  <c r="I14" i="63"/>
  <c r="C14" i="63"/>
  <c r="I13" i="63"/>
  <c r="F13" i="63"/>
  <c r="C13" i="63"/>
  <c r="I12" i="63"/>
  <c r="C12" i="63"/>
  <c r="I11" i="63"/>
  <c r="C11" i="63"/>
  <c r="I10" i="63"/>
  <c r="C10" i="63"/>
  <c r="I9" i="63"/>
  <c r="F9" i="63"/>
  <c r="C9" i="63"/>
  <c r="I8" i="63"/>
  <c r="C8" i="63"/>
  <c r="I7" i="63"/>
  <c r="C7" i="63"/>
  <c r="C6" i="63"/>
  <c r="I6" i="63"/>
  <c r="I5" i="63"/>
  <c r="C5" i="63"/>
  <c r="I33" i="62"/>
  <c r="C33" i="62"/>
  <c r="I32" i="62"/>
  <c r="F32" i="62"/>
  <c r="C32" i="62"/>
  <c r="A5" i="63"/>
  <c r="A6" i="63"/>
  <c r="A7" i="63" s="1"/>
  <c r="A8" i="63" s="1"/>
  <c r="A9" i="63" s="1"/>
  <c r="A10" i="63" s="1"/>
  <c r="A11" i="63" s="1"/>
  <c r="A12" i="63" s="1"/>
  <c r="A13" i="63" s="1"/>
  <c r="A14" i="63" s="1"/>
  <c r="A15" i="63" s="1"/>
  <c r="A16" i="63" s="1"/>
  <c r="A17" i="63" s="1"/>
  <c r="A18" i="63" s="1"/>
  <c r="A19" i="63" s="1"/>
  <c r="A20" i="63" s="1"/>
  <c r="A21" i="63" s="1"/>
  <c r="A22" i="63" s="1"/>
  <c r="A23" i="63" s="1"/>
  <c r="A24" i="63" s="1"/>
  <c r="A25" i="63" s="1"/>
  <c r="A26" i="63" s="1"/>
  <c r="A27" i="63" s="1"/>
  <c r="A28" i="63" s="1"/>
  <c r="A29" i="63" s="1"/>
  <c r="A30" i="63" s="1"/>
  <c r="A31" i="63" s="1"/>
  <c r="A32" i="63" s="1"/>
  <c r="A33" i="63" s="1"/>
  <c r="A34" i="63" s="1"/>
  <c r="I4" i="63"/>
  <c r="C4" i="63"/>
  <c r="I31" i="62"/>
  <c r="C31" i="62"/>
  <c r="I30" i="62"/>
  <c r="C30" i="62"/>
  <c r="I29" i="62"/>
  <c r="C29" i="62"/>
  <c r="I28" i="62"/>
  <c r="C28" i="62"/>
  <c r="I27" i="62"/>
  <c r="F27" i="62"/>
  <c r="C27" i="62"/>
  <c r="I26" i="62"/>
  <c r="C26" i="62"/>
  <c r="I25" i="62"/>
  <c r="C25" i="62"/>
  <c r="I24" i="62"/>
  <c r="C24" i="62"/>
  <c r="I23" i="62"/>
  <c r="C23" i="62"/>
  <c r="I22" i="62"/>
  <c r="C22" i="62"/>
  <c r="I21" i="62"/>
  <c r="C21" i="62"/>
  <c r="I20" i="62"/>
  <c r="C20" i="62"/>
  <c r="F19" i="62"/>
  <c r="I19" i="62"/>
  <c r="C19" i="62"/>
  <c r="I18" i="62"/>
  <c r="C18" i="62"/>
  <c r="I17" i="62"/>
  <c r="C17" i="62"/>
  <c r="I16" i="62"/>
  <c r="F16" i="62"/>
  <c r="C16" i="62"/>
  <c r="I15" i="62"/>
  <c r="C15" i="62"/>
  <c r="I14" i="62"/>
  <c r="C14" i="62"/>
  <c r="I13" i="62"/>
  <c r="C13" i="62"/>
  <c r="I12" i="62"/>
  <c r="C12" i="62"/>
  <c r="I11" i="62"/>
  <c r="C11" i="62"/>
  <c r="I10" i="62"/>
  <c r="C10" i="62"/>
  <c r="I9" i="62"/>
  <c r="C9" i="62"/>
  <c r="I8" i="62"/>
  <c r="C8" i="62"/>
  <c r="I7" i="62"/>
  <c r="C7" i="62"/>
  <c r="F7" i="62"/>
  <c r="I6" i="62"/>
  <c r="C6" i="62"/>
  <c r="I5" i="62"/>
  <c r="C5" i="62"/>
  <c r="I4" i="62"/>
  <c r="I34" i="61"/>
  <c r="I33" i="61"/>
  <c r="C34" i="61"/>
  <c r="C33" i="61"/>
  <c r="B34" i="61"/>
  <c r="B33" i="61"/>
  <c r="C4" i="62"/>
  <c r="A5" i="62"/>
  <c r="A6" i="62" s="1"/>
  <c r="A7" i="62" s="1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I32" i="61"/>
  <c r="B32" i="61"/>
  <c r="C32" i="61"/>
  <c r="I31" i="61"/>
  <c r="B31" i="61"/>
  <c r="C31" i="61" s="1"/>
  <c r="I30" i="61"/>
  <c r="F30" i="61"/>
  <c r="B30" i="61"/>
  <c r="C30" i="61" s="1"/>
  <c r="I29" i="61"/>
  <c r="B29" i="61"/>
  <c r="C29" i="61" s="1"/>
  <c r="I28" i="61"/>
  <c r="I27" i="61"/>
  <c r="I26" i="61"/>
  <c r="B28" i="61"/>
  <c r="C28" i="61" s="1"/>
  <c r="B27" i="61"/>
  <c r="C27" i="61" s="1"/>
  <c r="B26" i="61"/>
  <c r="C26" i="61" s="1"/>
  <c r="I25" i="61"/>
  <c r="B25" i="61"/>
  <c r="C25" i="61" s="1"/>
  <c r="I24" i="61"/>
  <c r="B24" i="61"/>
  <c r="C24" i="61" s="1"/>
  <c r="I23" i="61"/>
  <c r="B23" i="61"/>
  <c r="C23" i="61" s="1"/>
  <c r="I22" i="61"/>
  <c r="F22" i="61"/>
  <c r="B22" i="61"/>
  <c r="C22" i="61"/>
  <c r="I21" i="61"/>
  <c r="B21" i="61"/>
  <c r="C21" i="61" s="1"/>
  <c r="I20" i="61"/>
  <c r="B20" i="61"/>
  <c r="C20" i="61" s="1"/>
  <c r="I19" i="61"/>
  <c r="B19" i="61"/>
  <c r="C19" i="61"/>
  <c r="I18" i="61"/>
  <c r="F18" i="61"/>
  <c r="B18" i="61"/>
  <c r="C18" i="61"/>
  <c r="I17" i="61"/>
  <c r="B17" i="61"/>
  <c r="C17" i="61" s="1"/>
  <c r="I16" i="61"/>
  <c r="B16" i="61"/>
  <c r="C16" i="61" s="1"/>
  <c r="I15" i="61"/>
  <c r="C15" i="61"/>
  <c r="B15" i="61"/>
  <c r="E14" i="61"/>
  <c r="F14" i="61" s="1"/>
  <c r="I14" i="61"/>
  <c r="B14" i="61"/>
  <c r="C14" i="61" s="1"/>
  <c r="I13" i="61"/>
  <c r="B13" i="61"/>
  <c r="C13" i="61" s="1"/>
  <c r="I12" i="61"/>
  <c r="B12" i="61"/>
  <c r="C12" i="61" s="1"/>
  <c r="I11" i="61"/>
  <c r="F11" i="61"/>
  <c r="B11" i="61"/>
  <c r="C11" i="61" s="1"/>
  <c r="I10" i="61"/>
  <c r="B10" i="61"/>
  <c r="C10" i="61" s="1"/>
  <c r="I9" i="61"/>
  <c r="B9" i="61"/>
  <c r="C9" i="61" s="1"/>
  <c r="I8" i="61"/>
  <c r="B8" i="61"/>
  <c r="C8" i="61" s="1"/>
  <c r="I7" i="61"/>
  <c r="B7" i="61"/>
  <c r="C7" i="61" s="1"/>
  <c r="I6" i="61"/>
  <c r="F6" i="61"/>
  <c r="B6" i="61"/>
  <c r="C6" i="61" s="1"/>
  <c r="I5" i="61"/>
  <c r="B5" i="61"/>
  <c r="C5" i="61" s="1"/>
  <c r="I4" i="61"/>
  <c r="B4" i="61"/>
  <c r="C4" i="61"/>
  <c r="A5" i="61"/>
  <c r="A6" i="61" s="1"/>
  <c r="A7" i="61" s="1"/>
  <c r="A8" i="61" s="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A31" i="61" s="1"/>
  <c r="A32" i="61" s="1"/>
  <c r="A33" i="61" s="1"/>
  <c r="A34" i="61" s="1"/>
  <c r="I33" i="60"/>
  <c r="B33" i="60"/>
  <c r="C33" i="60" s="1"/>
  <c r="I32" i="60"/>
  <c r="B32" i="60"/>
  <c r="C32" i="60" s="1"/>
  <c r="I31" i="60"/>
  <c r="B31" i="60"/>
  <c r="C31" i="60" s="1"/>
  <c r="I30" i="60"/>
  <c r="B30" i="60"/>
  <c r="C30" i="60" s="1"/>
  <c r="I29" i="60"/>
  <c r="B29" i="60"/>
  <c r="C29" i="60" s="1"/>
  <c r="I28" i="60"/>
  <c r="F28" i="60"/>
  <c r="B28" i="60"/>
  <c r="C28" i="60" s="1"/>
  <c r="I27" i="60"/>
  <c r="C27" i="60"/>
  <c r="B27" i="60"/>
  <c r="I26" i="60"/>
  <c r="B26" i="60"/>
  <c r="C26" i="60" s="1"/>
  <c r="I25" i="60"/>
  <c r="B25" i="60"/>
  <c r="C25" i="60" s="1"/>
  <c r="I24" i="60"/>
  <c r="F24" i="60"/>
  <c r="C24" i="60"/>
  <c r="B24" i="60"/>
  <c r="I23" i="60"/>
  <c r="C23" i="60"/>
  <c r="B23" i="60"/>
  <c r="I22" i="60"/>
  <c r="B22" i="60"/>
  <c r="C22" i="60" s="1"/>
  <c r="I21" i="60"/>
  <c r="B21" i="60"/>
  <c r="C21" i="60" s="1"/>
  <c r="I20" i="60"/>
  <c r="C20" i="60"/>
  <c r="B20" i="60"/>
  <c r="I19" i="60"/>
  <c r="C19" i="60"/>
  <c r="B19" i="60"/>
  <c r="I18" i="60"/>
  <c r="F18" i="60"/>
  <c r="B18" i="60"/>
  <c r="C18" i="60" s="1"/>
  <c r="I17" i="60"/>
  <c r="B17" i="60"/>
  <c r="C17" i="60" s="1"/>
  <c r="I16" i="60"/>
  <c r="B16" i="60"/>
  <c r="C16" i="60" s="1"/>
  <c r="I15" i="60"/>
  <c r="B15" i="60"/>
  <c r="C15" i="60" s="1"/>
  <c r="I14" i="60"/>
  <c r="B14" i="60"/>
  <c r="C14" i="60" s="1"/>
  <c r="I13" i="60"/>
  <c r="F13" i="60"/>
  <c r="B13" i="60"/>
  <c r="C13" i="60" s="1"/>
  <c r="I12" i="60"/>
  <c r="B12" i="60"/>
  <c r="C12" i="60" s="1"/>
  <c r="I11" i="60"/>
  <c r="B11" i="60"/>
  <c r="C11" i="60" s="1"/>
  <c r="I10" i="60"/>
  <c r="C10" i="60"/>
  <c r="I9" i="60"/>
  <c r="C9" i="60"/>
  <c r="I8" i="60"/>
  <c r="C8" i="60"/>
  <c r="I7" i="60"/>
  <c r="C7" i="60"/>
  <c r="I6" i="60"/>
  <c r="B6" i="60"/>
  <c r="C6" i="60" s="1"/>
  <c r="A6" i="60"/>
  <c r="A7" i="60" s="1"/>
  <c r="A8" i="60" s="1"/>
  <c r="A9" i="60" s="1"/>
  <c r="A10" i="60" s="1"/>
  <c r="A11" i="60" s="1"/>
  <c r="A12" i="60" s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A28" i="60" s="1"/>
  <c r="A29" i="60" s="1"/>
  <c r="A30" i="60" s="1"/>
  <c r="A31" i="60" s="1"/>
  <c r="A32" i="60" s="1"/>
  <c r="A33" i="60" s="1"/>
  <c r="I5" i="60"/>
  <c r="F5" i="60"/>
  <c r="B5" i="60"/>
  <c r="C5" i="60" s="1"/>
  <c r="A5" i="60"/>
  <c r="I4" i="60"/>
  <c r="B4" i="60"/>
  <c r="C4" i="60" s="1"/>
  <c r="I34" i="59"/>
  <c r="B34" i="59"/>
  <c r="C34" i="59" s="1"/>
  <c r="I33" i="59"/>
  <c r="B33" i="59"/>
  <c r="C33" i="59" s="1"/>
  <c r="I32" i="59"/>
  <c r="B32" i="59"/>
  <c r="C32" i="59" s="1"/>
  <c r="I31" i="59"/>
  <c r="B31" i="59"/>
  <c r="C31" i="59" s="1"/>
  <c r="I30" i="59"/>
  <c r="B30" i="59"/>
  <c r="C30" i="59" s="1"/>
  <c r="I29" i="59"/>
  <c r="B29" i="59"/>
  <c r="C29" i="59" s="1"/>
  <c r="I28" i="59"/>
  <c r="B28" i="59"/>
  <c r="C28" i="59" s="1"/>
  <c r="I27" i="59"/>
  <c r="C27" i="59"/>
  <c r="C26" i="59"/>
  <c r="C25" i="59"/>
  <c r="C24" i="59"/>
  <c r="I23" i="59"/>
  <c r="C23" i="59"/>
  <c r="I22" i="59"/>
  <c r="C22" i="59"/>
  <c r="I21" i="59"/>
  <c r="C21" i="59"/>
  <c r="I20" i="59"/>
  <c r="F20" i="59"/>
  <c r="C20" i="59"/>
  <c r="I19" i="59"/>
  <c r="C19" i="59"/>
  <c r="I18" i="59"/>
  <c r="C18" i="59"/>
  <c r="I17" i="59"/>
  <c r="C17" i="59"/>
  <c r="I16" i="59"/>
  <c r="F16" i="59"/>
  <c r="C16" i="59"/>
  <c r="I15" i="59"/>
  <c r="C15" i="59"/>
  <c r="I14" i="59"/>
  <c r="C14" i="59"/>
  <c r="I13" i="59"/>
  <c r="C13" i="59"/>
  <c r="I12" i="59"/>
  <c r="F12" i="59"/>
  <c r="C12" i="59"/>
  <c r="I11" i="59"/>
  <c r="C11" i="59"/>
  <c r="I10" i="59"/>
  <c r="C10" i="59"/>
  <c r="I9" i="59"/>
  <c r="C9" i="59"/>
  <c r="I8" i="59"/>
  <c r="B8" i="59"/>
  <c r="C8" i="59" s="1"/>
  <c r="I7" i="59"/>
  <c r="B7" i="59"/>
  <c r="C7" i="59" s="1"/>
  <c r="I6" i="59"/>
  <c r="B6" i="59"/>
  <c r="C6" i="59" s="1"/>
  <c r="I5" i="59"/>
  <c r="F5" i="59"/>
  <c r="B5" i="59"/>
  <c r="C5" i="59" s="1"/>
  <c r="A5" i="59"/>
  <c r="A6" i="59" s="1"/>
  <c r="A7" i="59" s="1"/>
  <c r="A8" i="59" s="1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31" i="59" s="1"/>
  <c r="A32" i="59" s="1"/>
  <c r="A33" i="59" s="1"/>
  <c r="A34" i="59" s="1"/>
  <c r="I4" i="59"/>
  <c r="B4" i="59"/>
  <c r="C4" i="59" s="1"/>
  <c r="I34" i="58"/>
  <c r="F34" i="58"/>
  <c r="B34" i="58"/>
  <c r="C34" i="58" s="1"/>
  <c r="I33" i="58"/>
  <c r="B33" i="58"/>
  <c r="C33" i="58" s="1"/>
  <c r="I32" i="58"/>
  <c r="C32" i="58"/>
  <c r="B32" i="58"/>
  <c r="I31" i="58"/>
  <c r="C31" i="58"/>
  <c r="B31" i="58"/>
  <c r="I30" i="58"/>
  <c r="B30" i="58"/>
  <c r="C30" i="58" s="1"/>
  <c r="I29" i="58"/>
  <c r="B29" i="58"/>
  <c r="C29" i="58" s="1"/>
  <c r="I28" i="58"/>
  <c r="C28" i="58"/>
  <c r="B28" i="58"/>
  <c r="I27" i="58"/>
  <c r="C27" i="58"/>
  <c r="B27" i="58"/>
  <c r="I26" i="58"/>
  <c r="B26" i="58"/>
  <c r="C26" i="58" s="1"/>
  <c r="I25" i="58"/>
  <c r="B25" i="58"/>
  <c r="C25" i="58" s="1"/>
  <c r="I24" i="58"/>
  <c r="F24" i="58"/>
  <c r="B24" i="58"/>
  <c r="C24" i="58" s="1"/>
  <c r="I23" i="58"/>
  <c r="C23" i="58"/>
  <c r="B23" i="58"/>
  <c r="I22" i="58"/>
  <c r="B22" i="58"/>
  <c r="C22" i="58" s="1"/>
  <c r="I21" i="58"/>
  <c r="B21" i="58"/>
  <c r="C21" i="58" s="1"/>
  <c r="I20" i="58"/>
  <c r="F20" i="58"/>
  <c r="B20" i="58"/>
  <c r="C20" i="58" s="1"/>
  <c r="I19" i="58"/>
  <c r="B19" i="58"/>
  <c r="C19" i="58" s="1"/>
  <c r="I18" i="58"/>
  <c r="B18" i="58"/>
  <c r="C18" i="58" s="1"/>
  <c r="I17" i="58"/>
  <c r="B17" i="58"/>
  <c r="C17" i="58" s="1"/>
  <c r="I16" i="58"/>
  <c r="B16" i="58"/>
  <c r="C16" i="58" s="1"/>
  <c r="I15" i="58"/>
  <c r="B15" i="58"/>
  <c r="C15" i="58" s="1"/>
  <c r="I14" i="58"/>
  <c r="B14" i="58"/>
  <c r="C14" i="58" s="1"/>
  <c r="I13" i="58"/>
  <c r="B13" i="58"/>
  <c r="C13" i="58" s="1"/>
  <c r="I12" i="58"/>
  <c r="F12" i="58"/>
  <c r="B12" i="58"/>
  <c r="C12" i="58" s="1"/>
  <c r="I11" i="58"/>
  <c r="B11" i="58"/>
  <c r="C11" i="58" s="1"/>
  <c r="I10" i="58"/>
  <c r="B10" i="58"/>
  <c r="C10" i="58" s="1"/>
  <c r="I9" i="58"/>
  <c r="F9" i="58"/>
  <c r="B9" i="58"/>
  <c r="C9" i="58" s="1"/>
  <c r="I8" i="58"/>
  <c r="B8" i="58"/>
  <c r="C8" i="58" s="1"/>
  <c r="I7" i="58"/>
  <c r="B7" i="58"/>
  <c r="C7" i="58" s="1"/>
  <c r="I6" i="58"/>
  <c r="C6" i="58"/>
  <c r="B6" i="58"/>
  <c r="I5" i="58"/>
  <c r="C5" i="58"/>
  <c r="A5" i="58"/>
  <c r="A6" i="58" s="1"/>
  <c r="A7" i="58" s="1"/>
  <c r="A8" i="58" s="1"/>
  <c r="A9" i="58" s="1"/>
  <c r="A10" i="58" s="1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I4" i="58"/>
  <c r="B4" i="58"/>
  <c r="C4" i="58" s="1"/>
  <c r="I33" i="57"/>
  <c r="B33" i="57"/>
  <c r="C33" i="57" s="1"/>
  <c r="I32" i="57"/>
  <c r="F32" i="57"/>
  <c r="B32" i="57"/>
  <c r="C32" i="57" s="1"/>
  <c r="I31" i="57"/>
  <c r="B31" i="57"/>
  <c r="C31" i="57" s="1"/>
  <c r="I30" i="57"/>
  <c r="B30" i="57"/>
  <c r="C30" i="57" s="1"/>
  <c r="I29" i="57"/>
  <c r="B29" i="57"/>
  <c r="C29" i="57" s="1"/>
  <c r="I28" i="57"/>
  <c r="F28" i="57"/>
  <c r="C28" i="57"/>
  <c r="B28" i="57"/>
  <c r="I27" i="57"/>
  <c r="C27" i="57"/>
  <c r="I26" i="57"/>
  <c r="C26" i="57"/>
  <c r="I25" i="57"/>
  <c r="B25" i="57"/>
  <c r="C25" i="57" s="1"/>
  <c r="I24" i="57"/>
  <c r="B24" i="57"/>
  <c r="C24" i="57" s="1"/>
  <c r="I23" i="57"/>
  <c r="B23" i="57"/>
  <c r="C23" i="57" s="1"/>
  <c r="I22" i="57"/>
  <c r="B22" i="57"/>
  <c r="C22" i="57" s="1"/>
  <c r="I21" i="57"/>
  <c r="B21" i="57"/>
  <c r="C21" i="57" s="1"/>
  <c r="I20" i="57"/>
  <c r="B20" i="57"/>
  <c r="C20" i="57" s="1"/>
  <c r="I19" i="57"/>
  <c r="F19" i="57"/>
  <c r="B19" i="57"/>
  <c r="C19" i="57" s="1"/>
  <c r="I18" i="57"/>
  <c r="B18" i="57"/>
  <c r="C18" i="57" s="1"/>
  <c r="I17" i="57"/>
  <c r="B17" i="57"/>
  <c r="C17" i="57" s="1"/>
  <c r="I16" i="57"/>
  <c r="B16" i="57"/>
  <c r="C16" i="57" s="1"/>
  <c r="I15" i="57"/>
  <c r="B15" i="57"/>
  <c r="C15" i="57" s="1"/>
  <c r="I14" i="57"/>
  <c r="F14" i="57"/>
  <c r="C14" i="57"/>
  <c r="B14" i="57"/>
  <c r="I13" i="57"/>
  <c r="B13" i="57"/>
  <c r="C13" i="57" s="1"/>
  <c r="I12" i="57"/>
  <c r="B12" i="57"/>
  <c r="C12" i="57" s="1"/>
  <c r="I11" i="57"/>
  <c r="B11" i="57"/>
  <c r="C11" i="57" s="1"/>
  <c r="I10" i="57"/>
  <c r="B10" i="57"/>
  <c r="C10" i="57" s="1"/>
  <c r="I9" i="57"/>
  <c r="C9" i="57"/>
  <c r="B9" i="57"/>
  <c r="I8" i="57"/>
  <c r="B8" i="57"/>
  <c r="C8" i="57" s="1"/>
  <c r="I7" i="57"/>
  <c r="B7" i="57"/>
  <c r="C7" i="57" s="1"/>
  <c r="I6" i="57"/>
  <c r="F6" i="57"/>
  <c r="C6" i="57"/>
  <c r="B6" i="57"/>
  <c r="I5" i="57"/>
  <c r="C5" i="57"/>
  <c r="B5" i="57"/>
  <c r="A5" i="57"/>
  <c r="A6" i="57" s="1"/>
  <c r="A7" i="57" s="1"/>
  <c r="A8" i="57" s="1"/>
  <c r="A9" i="57" s="1"/>
  <c r="A10" i="57" s="1"/>
  <c r="A11" i="57" s="1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7" i="57" s="1"/>
  <c r="A28" i="57" s="1"/>
  <c r="A29" i="57" s="1"/>
  <c r="A30" i="57" s="1"/>
  <c r="A31" i="57" s="1"/>
  <c r="A32" i="57" s="1"/>
  <c r="A33" i="57" s="1"/>
  <c r="I4" i="57"/>
  <c r="C4" i="57"/>
  <c r="B4" i="57"/>
  <c r="I34" i="56"/>
  <c r="F34" i="56"/>
  <c r="C34" i="56"/>
  <c r="I33" i="56"/>
  <c r="C33" i="56"/>
  <c r="I32" i="56"/>
  <c r="C32" i="56"/>
  <c r="I31" i="56"/>
  <c r="F31" i="56"/>
  <c r="B31" i="56"/>
  <c r="C31" i="56" s="1"/>
  <c r="I30" i="56"/>
  <c r="B30" i="56"/>
  <c r="C30" i="56" s="1"/>
  <c r="I29" i="56"/>
  <c r="B29" i="56"/>
  <c r="C29" i="56" s="1"/>
  <c r="I28" i="56"/>
  <c r="B28" i="56"/>
  <c r="C28" i="56" s="1"/>
  <c r="I27" i="56"/>
  <c r="B27" i="56"/>
  <c r="C27" i="56" s="1"/>
  <c r="I26" i="56"/>
  <c r="B26" i="56"/>
  <c r="C26" i="56" s="1"/>
  <c r="I25" i="56"/>
  <c r="B25" i="56"/>
  <c r="C25" i="56" s="1"/>
  <c r="I24" i="56"/>
  <c r="B24" i="56"/>
  <c r="C24" i="56" s="1"/>
  <c r="I23" i="56"/>
  <c r="F23" i="56"/>
  <c r="B23" i="56"/>
  <c r="C23" i="56" s="1"/>
  <c r="I22" i="56"/>
  <c r="B22" i="56"/>
  <c r="C22" i="56" s="1"/>
  <c r="I21" i="56"/>
  <c r="C21" i="56"/>
  <c r="B21" i="56"/>
  <c r="I20" i="56"/>
  <c r="B20" i="56"/>
  <c r="C20" i="56" s="1"/>
  <c r="I19" i="56"/>
  <c r="B19" i="56"/>
  <c r="C19" i="56" s="1"/>
  <c r="I18" i="56"/>
  <c r="B18" i="56"/>
  <c r="C18" i="56" s="1"/>
  <c r="I17" i="56"/>
  <c r="B17" i="56"/>
  <c r="C17" i="56" s="1"/>
  <c r="I16" i="56"/>
  <c r="B16" i="56"/>
  <c r="C16" i="56" s="1"/>
  <c r="I15" i="56"/>
  <c r="B15" i="56"/>
  <c r="C15" i="56" s="1"/>
  <c r="I14" i="56"/>
  <c r="F14" i="56"/>
  <c r="B14" i="56"/>
  <c r="C14" i="56" s="1"/>
  <c r="I13" i="56"/>
  <c r="B13" i="56"/>
  <c r="C13" i="56" s="1"/>
  <c r="I12" i="56"/>
  <c r="B12" i="56"/>
  <c r="C12" i="56" s="1"/>
  <c r="I11" i="56"/>
  <c r="C11" i="56"/>
  <c r="B11" i="56"/>
  <c r="I10" i="56"/>
  <c r="F10" i="56"/>
  <c r="B10" i="56"/>
  <c r="C10" i="56" s="1"/>
  <c r="I9" i="56"/>
  <c r="B9" i="56"/>
  <c r="C9" i="56" s="1"/>
  <c r="I8" i="56"/>
  <c r="B8" i="56"/>
  <c r="C8" i="56" s="1"/>
  <c r="I7" i="56"/>
  <c r="F7" i="56"/>
  <c r="B7" i="56"/>
  <c r="C7" i="56" s="1"/>
  <c r="I6" i="56"/>
  <c r="B6" i="56"/>
  <c r="C6" i="56" s="1"/>
  <c r="I5" i="56"/>
  <c r="B5" i="56"/>
  <c r="C5" i="56" s="1"/>
  <c r="A5" i="56"/>
  <c r="A6" i="56" s="1"/>
  <c r="A7" i="56" s="1"/>
  <c r="A8" i="56" s="1"/>
  <c r="A9" i="56" s="1"/>
  <c r="A10" i="56" s="1"/>
  <c r="A11" i="56" s="1"/>
  <c r="A12" i="56" s="1"/>
  <c r="A13" i="56" s="1"/>
  <c r="A14" i="56" s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A28" i="56" s="1"/>
  <c r="A29" i="56" s="1"/>
  <c r="A30" i="56" s="1"/>
  <c r="A31" i="56" s="1"/>
  <c r="A32" i="56" s="1"/>
  <c r="A33" i="56" s="1"/>
  <c r="A34" i="56" s="1"/>
  <c r="I4" i="56"/>
  <c r="B4" i="56"/>
  <c r="C4" i="56" s="1"/>
  <c r="I33" i="55"/>
  <c r="B33" i="55"/>
  <c r="C33" i="55" s="1"/>
  <c r="I32" i="55"/>
  <c r="F32" i="55"/>
  <c r="B32" i="55"/>
  <c r="C32" i="55" s="1"/>
  <c r="I31" i="55"/>
  <c r="B31" i="55"/>
  <c r="C31" i="55" s="1"/>
  <c r="I30" i="55"/>
  <c r="B30" i="55"/>
  <c r="C30" i="55" s="1"/>
  <c r="I29" i="55"/>
  <c r="B29" i="55"/>
  <c r="C29" i="55" s="1"/>
  <c r="I28" i="55"/>
  <c r="E28" i="55"/>
  <c r="F28" i="55" s="1"/>
  <c r="C28" i="55"/>
  <c r="B28" i="55"/>
  <c r="I27" i="55"/>
  <c r="B27" i="55"/>
  <c r="C27" i="55" s="1"/>
  <c r="I26" i="55"/>
  <c r="B26" i="55"/>
  <c r="C26" i="55" s="1"/>
  <c r="I25" i="55"/>
  <c r="B25" i="55"/>
  <c r="C25" i="55" s="1"/>
  <c r="I24" i="55"/>
  <c r="C24" i="55"/>
  <c r="B24" i="55"/>
  <c r="I23" i="55"/>
  <c r="B23" i="55"/>
  <c r="C23" i="55" s="1"/>
  <c r="I22" i="55"/>
  <c r="F22" i="55"/>
  <c r="B22" i="55"/>
  <c r="C22" i="55" s="1"/>
  <c r="I21" i="55"/>
  <c r="B21" i="55"/>
  <c r="C21" i="55" s="1"/>
  <c r="I20" i="55"/>
  <c r="B20" i="55"/>
  <c r="C20" i="55" s="1"/>
  <c r="I19" i="55"/>
  <c r="C19" i="55"/>
  <c r="B19" i="55"/>
  <c r="I18" i="55"/>
  <c r="B18" i="55"/>
  <c r="C18" i="55" s="1"/>
  <c r="I17" i="55"/>
  <c r="B17" i="55"/>
  <c r="C17" i="55" s="1"/>
  <c r="I16" i="55"/>
  <c r="F16" i="55"/>
  <c r="B16" i="55"/>
  <c r="C16" i="55" s="1"/>
  <c r="I15" i="55"/>
  <c r="B15" i="55"/>
  <c r="C15" i="55" s="1"/>
  <c r="I14" i="55"/>
  <c r="B14" i="55"/>
  <c r="C14" i="55" s="1"/>
  <c r="I13" i="55"/>
  <c r="F13" i="55"/>
  <c r="B13" i="55"/>
  <c r="C13" i="55" s="1"/>
  <c r="I12" i="55"/>
  <c r="B12" i="55"/>
  <c r="C12" i="55" s="1"/>
  <c r="I11" i="55"/>
  <c r="B11" i="55"/>
  <c r="C11" i="55" s="1"/>
  <c r="I10" i="55"/>
  <c r="C10" i="55"/>
  <c r="B10" i="55"/>
  <c r="I9" i="55"/>
  <c r="B9" i="55"/>
  <c r="C9" i="55" s="1"/>
  <c r="I8" i="55"/>
  <c r="B8" i="55"/>
  <c r="C8" i="55" s="1"/>
  <c r="I7" i="55"/>
  <c r="B7" i="55"/>
  <c r="C7" i="55" s="1"/>
  <c r="I6" i="55"/>
  <c r="B6" i="55"/>
  <c r="C6" i="55" s="1"/>
  <c r="I5" i="55"/>
  <c r="C5" i="55"/>
  <c r="A5" i="55"/>
  <c r="A6" i="55" s="1"/>
  <c r="A7" i="55" s="1"/>
  <c r="A8" i="55" s="1"/>
  <c r="A9" i="55" s="1"/>
  <c r="A10" i="55" s="1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I4" i="55"/>
  <c r="F4" i="55"/>
  <c r="B4" i="55"/>
  <c r="C4" i="55" s="1"/>
  <c r="I34" i="54"/>
  <c r="B34" i="54"/>
  <c r="C34" i="54" s="1"/>
  <c r="I33" i="54"/>
  <c r="B33" i="54"/>
  <c r="C33" i="54" s="1"/>
  <c r="I32" i="54"/>
  <c r="B32" i="54"/>
  <c r="C32" i="54" s="1"/>
  <c r="I31" i="54"/>
  <c r="F31" i="54"/>
  <c r="B31" i="54"/>
  <c r="C31" i="54" s="1"/>
  <c r="I30" i="54"/>
  <c r="B30" i="54"/>
  <c r="C30" i="54" s="1"/>
  <c r="I29" i="54"/>
  <c r="F29" i="54"/>
  <c r="B29" i="54"/>
  <c r="C29" i="54" s="1"/>
  <c r="I28" i="54"/>
  <c r="B28" i="54"/>
  <c r="C28" i="54" s="1"/>
  <c r="I27" i="54"/>
  <c r="C27" i="54"/>
  <c r="I26" i="54"/>
  <c r="B26" i="54"/>
  <c r="C26" i="54" s="1"/>
  <c r="I25" i="54"/>
  <c r="B25" i="54"/>
  <c r="C25" i="54" s="1"/>
  <c r="I24" i="54"/>
  <c r="F24" i="54"/>
  <c r="B24" i="54"/>
  <c r="C24" i="54" s="1"/>
  <c r="I23" i="54"/>
  <c r="C23" i="54"/>
  <c r="B23" i="54"/>
  <c r="I22" i="54"/>
  <c r="C22" i="54"/>
  <c r="I21" i="54"/>
  <c r="C21" i="54"/>
  <c r="I20" i="54"/>
  <c r="B20" i="54"/>
  <c r="C20" i="54" s="1"/>
  <c r="I19" i="54"/>
  <c r="C19" i="54"/>
  <c r="I18" i="54"/>
  <c r="C18" i="54"/>
  <c r="I17" i="54"/>
  <c r="F17" i="54"/>
  <c r="C17" i="54"/>
  <c r="I16" i="54"/>
  <c r="C16" i="54"/>
  <c r="I15" i="54"/>
  <c r="B15" i="54"/>
  <c r="C15" i="54" s="1"/>
  <c r="I14" i="54"/>
  <c r="C14" i="54"/>
  <c r="I13" i="54"/>
  <c r="C13" i="54"/>
  <c r="I12" i="54"/>
  <c r="F12" i="54"/>
  <c r="B12" i="54"/>
  <c r="C12" i="54" s="1"/>
  <c r="I11" i="54"/>
  <c r="B11" i="54"/>
  <c r="C11" i="54" s="1"/>
  <c r="I10" i="54"/>
  <c r="B10" i="54"/>
  <c r="C10" i="54" s="1"/>
  <c r="I9" i="54"/>
  <c r="B9" i="54"/>
  <c r="C9" i="54" s="1"/>
  <c r="I8" i="54"/>
  <c r="B8" i="54"/>
  <c r="C8" i="54" s="1"/>
  <c r="I7" i="54"/>
  <c r="B7" i="54"/>
  <c r="C7" i="54" s="1"/>
  <c r="I6" i="54"/>
  <c r="B6" i="54"/>
  <c r="C6" i="54" s="1"/>
  <c r="I5" i="54"/>
  <c r="B5" i="54"/>
  <c r="C5" i="54" s="1"/>
  <c r="A5" i="54"/>
  <c r="A6" i="54" s="1"/>
  <c r="A7" i="54" s="1"/>
  <c r="A8" i="54" s="1"/>
  <c r="A9" i="54" s="1"/>
  <c r="A10" i="54" s="1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I4" i="54"/>
  <c r="B4" i="54"/>
  <c r="C4" i="54" s="1"/>
  <c r="I31" i="53"/>
  <c r="B31" i="53"/>
  <c r="C31" i="53" s="1"/>
  <c r="I30" i="53"/>
  <c r="F30" i="53"/>
  <c r="B30" i="53"/>
  <c r="C30" i="53" s="1"/>
  <c r="I29" i="53"/>
  <c r="B29" i="53"/>
  <c r="C29" i="53" s="1"/>
  <c r="I28" i="53"/>
  <c r="F28" i="53"/>
  <c r="B28" i="53"/>
  <c r="C28" i="53" s="1"/>
  <c r="I27" i="53"/>
  <c r="C27" i="53"/>
  <c r="B27" i="53"/>
  <c r="I26" i="53"/>
  <c r="B26" i="53"/>
  <c r="C26" i="53" s="1"/>
  <c r="I25" i="53"/>
  <c r="B25" i="53"/>
  <c r="C25" i="53" s="1"/>
  <c r="I24" i="53"/>
  <c r="C24" i="53"/>
  <c r="B24" i="53"/>
  <c r="I23" i="53"/>
  <c r="C23" i="53"/>
  <c r="B23" i="53"/>
  <c r="I22" i="53"/>
  <c r="B22" i="53"/>
  <c r="C22" i="53" s="1"/>
  <c r="I21" i="53"/>
  <c r="E21" i="53"/>
  <c r="F21" i="53" s="1"/>
  <c r="C21" i="53"/>
  <c r="I20" i="53"/>
  <c r="C20" i="53"/>
  <c r="I19" i="53"/>
  <c r="C19" i="53"/>
  <c r="B19" i="53"/>
  <c r="I18" i="53"/>
  <c r="B18" i="53"/>
  <c r="C18" i="53" s="1"/>
  <c r="I17" i="53"/>
  <c r="B17" i="53"/>
  <c r="C17" i="53" s="1"/>
  <c r="I16" i="53"/>
  <c r="C16" i="53"/>
  <c r="B16" i="53"/>
  <c r="I15" i="53"/>
  <c r="C15" i="53"/>
  <c r="B15" i="53"/>
  <c r="I14" i="53"/>
  <c r="B14" i="53"/>
  <c r="C14" i="53" s="1"/>
  <c r="I13" i="53"/>
  <c r="E13" i="53"/>
  <c r="F13" i="53" s="1"/>
  <c r="B13" i="53"/>
  <c r="C13" i="53" s="1"/>
  <c r="I12" i="53"/>
  <c r="F12" i="53"/>
  <c r="B12" i="53"/>
  <c r="C12" i="53" s="1"/>
  <c r="I11" i="53"/>
  <c r="B11" i="53"/>
  <c r="C11" i="53" s="1"/>
  <c r="I10" i="53"/>
  <c r="B10" i="53"/>
  <c r="C10" i="53" s="1"/>
  <c r="I9" i="53"/>
  <c r="B9" i="53"/>
  <c r="C9" i="53" s="1"/>
  <c r="I8" i="53"/>
  <c r="B8" i="53"/>
  <c r="C8" i="53" s="1"/>
  <c r="I7" i="53"/>
  <c r="B7" i="53"/>
  <c r="C7" i="53" s="1"/>
  <c r="I6" i="53"/>
  <c r="B6" i="53"/>
  <c r="C6" i="53" s="1"/>
  <c r="I5" i="53"/>
  <c r="B5" i="53"/>
  <c r="C5" i="53" s="1"/>
  <c r="A5" i="53"/>
  <c r="A6" i="53" s="1"/>
  <c r="A7" i="53" s="1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I4" i="53"/>
  <c r="F4" i="53"/>
  <c r="B4" i="53"/>
  <c r="C4" i="53" s="1"/>
  <c r="I34" i="52"/>
  <c r="B34" i="52"/>
  <c r="C34" i="52" s="1"/>
  <c r="I33" i="52"/>
  <c r="B33" i="52"/>
  <c r="C33" i="52" s="1"/>
  <c r="I32" i="52"/>
  <c r="B32" i="52"/>
  <c r="C32" i="52" s="1"/>
  <c r="I31" i="52"/>
  <c r="B31" i="52"/>
  <c r="C31" i="52" s="1"/>
  <c r="I30" i="52"/>
  <c r="B30" i="52"/>
  <c r="C30" i="52" s="1"/>
  <c r="I29" i="52"/>
  <c r="B29" i="52"/>
  <c r="C29" i="52" s="1"/>
  <c r="I28" i="52"/>
  <c r="B28" i="52"/>
  <c r="C28" i="52" s="1"/>
  <c r="I27" i="52"/>
  <c r="E27" i="52"/>
  <c r="F27" i="52" s="1"/>
  <c r="B27" i="52"/>
  <c r="C27" i="52" s="1"/>
  <c r="I26" i="52"/>
  <c r="C26" i="52"/>
  <c r="I25" i="52"/>
  <c r="C25" i="52"/>
  <c r="I24" i="52"/>
  <c r="F24" i="52"/>
  <c r="C24" i="52"/>
  <c r="I23" i="52"/>
  <c r="C23" i="52"/>
  <c r="I22" i="52"/>
  <c r="C22" i="52"/>
  <c r="I21" i="52"/>
  <c r="C21" i="52"/>
  <c r="I20" i="52"/>
  <c r="C20" i="52"/>
  <c r="I19" i="52"/>
  <c r="C19" i="52"/>
  <c r="I18" i="52"/>
  <c r="C18" i="52"/>
  <c r="I17" i="52"/>
  <c r="F17" i="52"/>
  <c r="C17" i="52"/>
  <c r="I16" i="52"/>
  <c r="C16" i="52"/>
  <c r="I15" i="52"/>
  <c r="C15" i="52"/>
  <c r="I14" i="52"/>
  <c r="E14" i="52"/>
  <c r="F14" i="52" s="1"/>
  <c r="C14" i="52"/>
  <c r="I13" i="52"/>
  <c r="C13" i="52"/>
  <c r="I12" i="52"/>
  <c r="C12" i="52"/>
  <c r="I11" i="52"/>
  <c r="E11" i="52"/>
  <c r="F11" i="52" s="1"/>
  <c r="C11" i="52"/>
  <c r="I10" i="52"/>
  <c r="C10" i="52"/>
  <c r="I9" i="52"/>
  <c r="C9" i="52"/>
  <c r="I8" i="52"/>
  <c r="C8" i="52"/>
  <c r="I7" i="52"/>
  <c r="C7" i="52"/>
  <c r="I6" i="52"/>
  <c r="F6" i="52"/>
  <c r="C6" i="52"/>
  <c r="I5" i="52"/>
  <c r="C5" i="52"/>
  <c r="A5" i="52"/>
  <c r="A6" i="52" s="1"/>
  <c r="A7" i="52" s="1"/>
  <c r="A8" i="52" s="1"/>
  <c r="A9" i="52" s="1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I4" i="52"/>
  <c r="F4" i="52"/>
  <c r="C4" i="52"/>
</calcChain>
</file>

<file path=xl/sharedStrings.xml><?xml version="1.0" encoding="utf-8"?>
<sst xmlns="http://schemas.openxmlformats.org/spreadsheetml/2006/main" count="1847" uniqueCount="58">
  <si>
    <t>- Scheduled on the basis of the User's Plan / Allocated when the measured value is available;</t>
  </si>
  <si>
    <t>(GJ)</t>
  </si>
  <si>
    <t>Send out (i)</t>
  </si>
  <si>
    <t>(i)</t>
  </si>
  <si>
    <t>(ii)</t>
  </si>
  <si>
    <t>(iii)</t>
  </si>
  <si>
    <t>(iv)</t>
  </si>
  <si>
    <t>(v)</t>
  </si>
  <si>
    <t xml:space="preserve">Unloaded LNG (iii) </t>
  </si>
  <si>
    <t>Scheduled/Allocated (iv)</t>
  </si>
  <si>
    <t>LNG in Storage (v)</t>
  </si>
  <si>
    <t>Days</t>
  </si>
  <si>
    <t>Provisional/Allocated (ii)</t>
  </si>
  <si>
    <t>- Provisional on the basis of what reported on Sam Rete Gas platform
- Allocated at the end of the allocation process;</t>
  </si>
  <si>
    <t>Allocated</t>
  </si>
  <si>
    <t>(Kwh)</t>
  </si>
  <si>
    <t>- LNG in Storage net of the minimum operating level at 6:00 a.m. of Day D converted to energy using a conversion factor 24.1 GJ/cubic meter of LNG;</t>
  </si>
  <si>
    <t>- Send-out injected into the grid during Gas Day D;</t>
  </si>
  <si>
    <t>- Gross unloaded LNG (including Losses and Consumption) from Users during Gas Day D; 
- Assumes all Scheduled/Allocated LNG on the Gas Day (D) that discharge begins;</t>
  </si>
  <si>
    <t>Notes:</t>
  </si>
  <si>
    <t xml:space="preserve">- To convert between GJ and kWh a conversion factor of 3.6 GJ / MWh has been used </t>
  </si>
  <si>
    <t>Terminale GNL Adriatico - January 2015</t>
  </si>
  <si>
    <t>Terminale GNL Adriatico - February 2015</t>
  </si>
  <si>
    <t>Terminale GNL Adriatico - March 2015</t>
  </si>
  <si>
    <t>Terminale GNL Adriatico - April 2015</t>
  </si>
  <si>
    <t>Terminale GNL Adriatico - May 2015</t>
  </si>
  <si>
    <t>Terminale GNL Adriatico - June 2015</t>
  </si>
  <si>
    <t>Terminale GNL Adriatico - July 2015</t>
  </si>
  <si>
    <t>Terminale GNL Adriatico - August 2015</t>
  </si>
  <si>
    <t>(kWh)</t>
  </si>
  <si>
    <t>Terminale GNL Adriatico - September 2015</t>
  </si>
  <si>
    <t>Terminale GNL Adriatico - October 2015</t>
  </si>
  <si>
    <t>Terminale GNL Adriatico - November 2015</t>
  </si>
  <si>
    <t>Terminale GNL Adriatico - December 2015</t>
  </si>
  <si>
    <t>Terminale GNL Adriatico - January 2016</t>
  </si>
  <si>
    <t>Terminale GNL Adriatico - February 2016</t>
  </si>
  <si>
    <t>Terminale GNL Adriatico - March 2016</t>
  </si>
  <si>
    <t>- GHV and WI are measured at 15°C combustion temperature; values with 25°C combustion temperature are reported based on fixed conversion factor provided by Snam Rete Gas</t>
  </si>
  <si>
    <t xml:space="preserve">   </t>
  </si>
  <si>
    <t xml:space="preserve"> </t>
  </si>
  <si>
    <t>Terminale GNL Adriatico - April 2016</t>
  </si>
  <si>
    <t>- LNG in Storage net of the minimum operating level at 6:00 a.m. of Day D+1 converted to energy using a conversion factor 24.1 GJ/cubic meter of LNG;</t>
  </si>
  <si>
    <t>Terminale GNL Adriatico - May 2016</t>
  </si>
  <si>
    <t>Terminale GNL Adriatico - June 2016</t>
  </si>
  <si>
    <t>Terminale GNL Adriatico - July 2016</t>
  </si>
  <si>
    <t>Terminale GNL Adriatico -August 2016</t>
  </si>
  <si>
    <t>Terminale GNL Adriatico -September 2016</t>
  </si>
  <si>
    <t>Terminale GNL Adriatico -October 2016</t>
  </si>
  <si>
    <t>Terminale GNL Adriatico - November 2016</t>
  </si>
  <si>
    <t>Terminale GNL Adriatico - December 2016</t>
  </si>
  <si>
    <t xml:space="preserve">Allocated </t>
  </si>
  <si>
    <t>Terminale GNL Adriatico - January 2017</t>
  </si>
  <si>
    <t>Terminale GNL Adriatico - February 2017</t>
  </si>
  <si>
    <t>Terminale GNL Adriatico - March 2017</t>
  </si>
  <si>
    <t>Terminale GNL Adriatico - April 2017</t>
  </si>
  <si>
    <t>Terminale GNL Adriatico - May 2017</t>
  </si>
  <si>
    <t>Terminale GNL Adriatico - June 2017</t>
  </si>
  <si>
    <t>Terminale GNL Adriatico - July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</si>
</sst>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#,##0.000"/>
    <numFmt numFmtId="166" formatCode="_-[$€]\ * #,##0.00_-;\-[$€]\ * #,##0.00_-;_-[$€]\ * &quot;-&quot;??_-;_-@_-"/>
    <numFmt numFmtId="167" formatCode="0.0%"/>
    <numFmt numFmtId="168" formatCode="_(* #,##0.00_);_(* \(#,##0.00\);_(* &quot;-&quot;??_);_(@_)"/>
    <numFmt numFmtId="169" formatCode="_(* #,##0.0_);_(* \(#,##0.0\);_(* &quot;-&quot;??_);_(@_)"/>
    <numFmt numFmtId="170" formatCode="0.000000"/>
    <numFmt numFmtId="171" formatCode="#,##0.00000"/>
    <numFmt numFmtId="175" formatCode="0.00000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6" fillId="0" borderId="0"/>
    <xf numFmtId="0" fontId="32" fillId="7" borderId="16" applyNumberFormat="0" applyAlignment="0" applyProtection="0"/>
    <xf numFmtId="0" fontId="33" fillId="0" borderId="17" applyNumberFormat="0" applyFill="0" applyAlignment="0" applyProtection="0"/>
    <xf numFmtId="0" fontId="34" fillId="8" borderId="18" applyNumberFormat="0" applyAlignment="0" applyProtection="0"/>
    <xf numFmtId="166" fontId="31" fillId="0" borderId="0" applyFont="0" applyFill="0" applyBorder="0" applyAlignment="0" applyProtection="0"/>
    <xf numFmtId="0" fontId="35" fillId="9" borderId="19" applyNumberFormat="0" applyFont="0" applyAlignment="0" applyProtection="0"/>
    <xf numFmtId="0" fontId="36" fillId="0" borderId="0" applyNumberFormat="0" applyFill="0" applyBorder="0" applyAlignment="0" applyProtection="0"/>
    <xf numFmtId="0" fontId="25" fillId="0" borderId="0"/>
    <xf numFmtId="0" fontId="24" fillId="0" borderId="0"/>
    <xf numFmtId="0" fontId="23" fillId="0" borderId="0"/>
    <xf numFmtId="166" fontId="37" fillId="0" borderId="0" applyFont="0" applyFill="0" applyBorder="0" applyAlignment="0" applyProtection="0"/>
    <xf numFmtId="0" fontId="31" fillId="9" borderId="19" applyNumberFormat="0" applyFont="0" applyAlignment="0" applyProtection="0"/>
    <xf numFmtId="0" fontId="22" fillId="0" borderId="0"/>
    <xf numFmtId="0" fontId="21" fillId="0" borderId="0"/>
    <xf numFmtId="166" fontId="38" fillId="0" borderId="0" applyFont="0" applyFill="0" applyBorder="0" applyAlignment="0" applyProtection="0"/>
    <xf numFmtId="0" fontId="20" fillId="0" borderId="0"/>
    <xf numFmtId="166" fontId="39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166" fontId="40" fillId="0" borderId="0" applyFont="0" applyFill="0" applyBorder="0" applyAlignment="0" applyProtection="0"/>
    <xf numFmtId="0" fontId="12" fillId="0" borderId="0"/>
    <xf numFmtId="0" fontId="3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41" fillId="0" borderId="0" applyFont="0" applyFill="0" applyBorder="0" applyAlignment="0" applyProtection="0"/>
    <xf numFmtId="0" fontId="7" fillId="0" borderId="0"/>
    <xf numFmtId="166" fontId="42" fillId="0" borderId="0" applyFont="0" applyFill="0" applyBorder="0" applyAlignment="0" applyProtection="0"/>
    <xf numFmtId="0" fontId="6" fillId="0" borderId="0"/>
    <xf numFmtId="166" fontId="43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9" fontId="43" fillId="0" borderId="0" applyFont="0" applyFill="0" applyBorder="0" applyAlignment="0" applyProtection="0"/>
    <xf numFmtId="168" fontId="31" fillId="0" borderId="0" applyFont="0" applyFill="0" applyBorder="0" applyAlignment="0" applyProtection="0"/>
  </cellStyleXfs>
  <cellXfs count="182">
    <xf numFmtId="0" fontId="0" fillId="0" borderId="0" xfId="0"/>
    <xf numFmtId="0" fontId="27" fillId="0" borderId="0" xfId="0" applyFont="1"/>
    <xf numFmtId="0" fontId="28" fillId="2" borderId="1" xfId="0" applyFont="1" applyFill="1" applyBorder="1" applyAlignment="1">
      <alignment horizontal="center" vertical="center"/>
    </xf>
    <xf numFmtId="164" fontId="27" fillId="0" borderId="3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8" fillId="3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top" wrapText="1"/>
    </xf>
    <xf numFmtId="0" fontId="27" fillId="0" borderId="0" xfId="0" quotePrefix="1" applyFont="1" applyAlignment="1">
      <alignment horizontal="center" vertical="center" wrapText="1"/>
    </xf>
    <xf numFmtId="0" fontId="27" fillId="0" borderId="4" xfId="0" applyFont="1" applyFill="1" applyBorder="1" applyAlignment="1">
      <alignment vertical="center"/>
    </xf>
    <xf numFmtId="164" fontId="27" fillId="0" borderId="7" xfId="0" applyNumberFormat="1" applyFont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10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vertical="center"/>
    </xf>
    <xf numFmtId="164" fontId="28" fillId="0" borderId="2" xfId="0" applyNumberFormat="1" applyFont="1" applyBorder="1" applyAlignment="1">
      <alignment horizontal="center" vertical="center"/>
    </xf>
    <xf numFmtId="164" fontId="28" fillId="0" borderId="7" xfId="0" applyNumberFormat="1" applyFont="1" applyBorder="1" applyAlignment="1">
      <alignment horizontal="center" vertical="center"/>
    </xf>
    <xf numFmtId="164" fontId="28" fillId="0" borderId="8" xfId="0" applyNumberFormat="1" applyFont="1" applyBorder="1" applyAlignment="1">
      <alignment horizontal="center" vertical="center"/>
    </xf>
    <xf numFmtId="0" fontId="27" fillId="5" borderId="4" xfId="0" applyFont="1" applyFill="1" applyBorder="1" applyAlignment="1">
      <alignment vertical="center"/>
    </xf>
    <xf numFmtId="165" fontId="28" fillId="0" borderId="2" xfId="0" applyNumberFormat="1" applyFont="1" applyBorder="1" applyAlignment="1">
      <alignment horizontal="center" vertical="center"/>
    </xf>
    <xf numFmtId="164" fontId="27" fillId="0" borderId="8" xfId="0" applyNumberFormat="1" applyFont="1" applyBorder="1" applyAlignment="1">
      <alignment horizontal="center" vertical="center"/>
    </xf>
    <xf numFmtId="164" fontId="28" fillId="0" borderId="11" xfId="0" applyNumberFormat="1" applyFont="1" applyBorder="1" applyAlignment="1">
      <alignment horizontal="center" vertical="center"/>
    </xf>
    <xf numFmtId="165" fontId="28" fillId="0" borderId="20" xfId="0" applyNumberFormat="1" applyFont="1" applyBorder="1" applyAlignment="1">
      <alignment horizontal="center" vertical="center"/>
    </xf>
    <xf numFmtId="164" fontId="28" fillId="0" borderId="4" xfId="0" applyNumberFormat="1" applyFont="1" applyBorder="1" applyAlignment="1">
      <alignment horizontal="center" vertical="center"/>
    </xf>
    <xf numFmtId="3" fontId="28" fillId="0" borderId="4" xfId="0" applyNumberFormat="1" applyFont="1" applyBorder="1" applyAlignment="1">
      <alignment horizontal="center" vertical="center"/>
    </xf>
    <xf numFmtId="164" fontId="28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3" fontId="28" fillId="0" borderId="2" xfId="0" applyNumberFormat="1" applyFont="1" applyBorder="1" applyAlignment="1">
      <alignment horizontal="center" vertical="center"/>
    </xf>
    <xf numFmtId="0" fontId="28" fillId="0" borderId="0" xfId="0" quotePrefix="1" applyFont="1" applyAlignment="1">
      <alignment horizontal="center" vertical="center" wrapText="1"/>
    </xf>
    <xf numFmtId="0" fontId="27" fillId="0" borderId="6" xfId="0" applyFont="1" applyFill="1" applyBorder="1" applyAlignment="1">
      <alignment vertical="center"/>
    </xf>
    <xf numFmtId="0" fontId="27" fillId="6" borderId="6" xfId="0" applyFont="1" applyFill="1" applyBorder="1" applyAlignment="1">
      <alignment vertical="center"/>
    </xf>
    <xf numFmtId="0" fontId="27" fillId="10" borderId="6" xfId="0" applyFont="1" applyFill="1" applyBorder="1" applyAlignment="1">
      <alignment vertical="center"/>
    </xf>
    <xf numFmtId="0" fontId="27" fillId="5" borderId="6" xfId="0" applyFont="1" applyFill="1" applyBorder="1" applyAlignment="1">
      <alignment vertical="center"/>
    </xf>
    <xf numFmtId="3" fontId="28" fillId="0" borderId="7" xfId="0" applyNumberFormat="1" applyFont="1" applyBorder="1" applyAlignment="1">
      <alignment horizontal="center" vertical="center"/>
    </xf>
    <xf numFmtId="0" fontId="27" fillId="0" borderId="0" xfId="0" quotePrefix="1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9" fillId="0" borderId="0" xfId="0" applyFont="1" applyFill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27" fillId="10" borderId="4" xfId="0" applyFont="1" applyFill="1" applyBorder="1" applyAlignment="1">
      <alignment vertical="center"/>
    </xf>
    <xf numFmtId="0" fontId="27" fillId="0" borderId="0" xfId="0" quotePrefix="1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9" fillId="0" borderId="0" xfId="0" applyFont="1" applyFill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quotePrefix="1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9" fillId="0" borderId="0" xfId="0" applyFont="1" applyFill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quotePrefix="1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9" fillId="0" borderId="0" xfId="0" applyFont="1" applyFill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27" fillId="0" borderId="0" xfId="0" quotePrefix="1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9" fillId="0" borderId="0" xfId="0" applyFont="1" applyFill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164" fontId="28" fillId="0" borderId="20" xfId="0" applyNumberFormat="1" applyFont="1" applyBorder="1" applyAlignment="1">
      <alignment horizontal="center" vertical="center"/>
    </xf>
    <xf numFmtId="0" fontId="27" fillId="0" borderId="0" xfId="0" quotePrefix="1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9" fillId="0" borderId="0" xfId="0" applyFont="1" applyFill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quotePrefix="1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9" fillId="0" borderId="0" xfId="0" applyFont="1" applyFill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quotePrefix="1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9" fillId="0" borderId="0" xfId="0" applyFont="1" applyFill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27" fillId="5" borderId="5" xfId="0" applyFont="1" applyFill="1" applyBorder="1" applyAlignment="1">
      <alignment vertical="center"/>
    </xf>
    <xf numFmtId="0" fontId="27" fillId="0" borderId="0" xfId="0" quotePrefix="1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9" fillId="0" borderId="0" xfId="0" applyFont="1" applyFill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quotePrefix="1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9" fillId="0" borderId="0" xfId="0" applyFont="1" applyFill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quotePrefix="1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9" fillId="0" borderId="0" xfId="0" applyFont="1" applyFill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quotePrefix="1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9" fillId="0" borderId="0" xfId="0" applyFont="1" applyFill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quotePrefix="1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9" fillId="0" borderId="0" xfId="0" applyFont="1" applyFill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quotePrefix="1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7" fillId="6" borderId="4" xfId="0" applyFont="1" applyFill="1" applyBorder="1" applyAlignment="1">
      <alignment vertical="center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quotePrefix="1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quotePrefix="1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8" fillId="0" borderId="0" xfId="0" applyFont="1" applyFill="1" applyAlignment="1">
      <alignment horizontal="left" vertical="center" wrapText="1"/>
    </xf>
    <xf numFmtId="4" fontId="0" fillId="0" borderId="0" xfId="0" applyNumberFormat="1"/>
    <xf numFmtId="167" fontId="43" fillId="0" borderId="0" xfId="42" applyNumberFormat="1"/>
    <xf numFmtId="169" fontId="28" fillId="0" borderId="0" xfId="43" applyNumberFormat="1" applyFont="1" applyBorder="1" applyAlignment="1">
      <alignment horizontal="center"/>
    </xf>
    <xf numFmtId="2" fontId="0" fillId="0" borderId="0" xfId="0" applyNumberFormat="1"/>
    <xf numFmtId="0" fontId="0" fillId="0" borderId="0" xfId="0" applyBorder="1"/>
    <xf numFmtId="0" fontId="27" fillId="6" borderId="0" xfId="0" applyFont="1" applyFill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7" fillId="0" borderId="0" xfId="0" quotePrefix="1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quotePrefix="1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quotePrefix="1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quotePrefix="1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quotePrefix="1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quotePrefix="1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164" fontId="28" fillId="0" borderId="2" xfId="0" applyNumberFormat="1" applyFont="1" applyFill="1" applyBorder="1" applyAlignment="1">
      <alignment horizontal="center" vertical="center"/>
    </xf>
    <xf numFmtId="164" fontId="0" fillId="0" borderId="0" xfId="0" applyNumberFormat="1"/>
    <xf numFmtId="170" fontId="0" fillId="0" borderId="0" xfId="0" applyNumberFormat="1"/>
    <xf numFmtId="0" fontId="27" fillId="0" borderId="0" xfId="0" quotePrefix="1" applyFont="1" applyBorder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171" fontId="0" fillId="0" borderId="0" xfId="0" applyNumberFormat="1"/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8" fillId="0" borderId="0" xfId="0" quotePrefix="1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17" fontId="30" fillId="0" borderId="0" xfId="0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12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quotePrefix="1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8" fillId="0" borderId="0" xfId="0" applyFont="1" applyFill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4" borderId="13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175" fontId="0" fillId="0" borderId="0" xfId="0" applyNumberFormat="1"/>
  </cellXfs>
  <cellStyles count="44">
    <cellStyle name="_x0013_" xfId="27"/>
    <cellStyle name="Calcolo" xfId="2"/>
    <cellStyle name="Cella collegata" xfId="3"/>
    <cellStyle name="Cella da controllare" xfId="4"/>
    <cellStyle name="Comma_01 - OpsReports 01-March (2) 2" xfId="43"/>
    <cellStyle name="Euro" xfId="5"/>
    <cellStyle name="Euro 2" xfId="11"/>
    <cellStyle name="Euro 3" xfId="15"/>
    <cellStyle name="Euro 4" xfId="17"/>
    <cellStyle name="Euro 5" xfId="25"/>
    <cellStyle name="Euro 6" xfId="32"/>
    <cellStyle name="Euro 7" xfId="34"/>
    <cellStyle name="Euro 8" xfId="36"/>
    <cellStyle name="Normal" xfId="0" builtinId="0"/>
    <cellStyle name="Normal 10" xfId="20"/>
    <cellStyle name="Normal 11" xfId="21"/>
    <cellStyle name="Normal 12" xfId="22"/>
    <cellStyle name="Normal 13" xfId="23"/>
    <cellStyle name="Normal 14" xfId="24"/>
    <cellStyle name="Normal 15" xfId="26"/>
    <cellStyle name="Normal 16" xfId="28"/>
    <cellStyle name="Normal 17" xfId="29"/>
    <cellStyle name="Normal 18" xfId="30"/>
    <cellStyle name="Normal 19" xfId="31"/>
    <cellStyle name="Normal 2" xfId="1"/>
    <cellStyle name="Normal 2 2" xfId="9"/>
    <cellStyle name="Normal 20" xfId="33"/>
    <cellStyle name="Normal 21" xfId="35"/>
    <cellStyle name="Normal 22" xfId="37"/>
    <cellStyle name="Normal 23" xfId="38"/>
    <cellStyle name="Normal 24" xfId="39"/>
    <cellStyle name="Normal 25" xfId="40"/>
    <cellStyle name="Normal 26" xfId="41"/>
    <cellStyle name="Normal 3" xfId="8"/>
    <cellStyle name="Normal 4" xfId="10"/>
    <cellStyle name="Normal 5" xfId="13"/>
    <cellStyle name="Normal 6" xfId="14"/>
    <cellStyle name="Normal 7" xfId="16"/>
    <cellStyle name="Normal 8" xfId="18"/>
    <cellStyle name="Normal 9" xfId="19"/>
    <cellStyle name="Nota" xfId="6"/>
    <cellStyle name="Nota 2" xfId="12"/>
    <cellStyle name="Percent" xfId="42" builtinId="5"/>
    <cellStyle name="Testo avviso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76201</xdr:rowOff>
    </xdr:from>
    <xdr:to>
      <xdr:col>2</xdr:col>
      <xdr:colOff>915799</xdr:colOff>
      <xdr:row>0</xdr:row>
      <xdr:rowOff>548641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76201"/>
          <a:ext cx="1982599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0</xdr:row>
      <xdr:rowOff>76201</xdr:rowOff>
    </xdr:from>
    <xdr:to>
      <xdr:col>2</xdr:col>
      <xdr:colOff>708661</xdr:colOff>
      <xdr:row>0</xdr:row>
      <xdr:rowOff>548641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1" y="76201"/>
          <a:ext cx="180975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57151</xdr:colOff>
      <xdr:row>0</xdr:row>
      <xdr:rowOff>76201</xdr:rowOff>
    </xdr:from>
    <xdr:to>
      <xdr:col>2</xdr:col>
      <xdr:colOff>708661</xdr:colOff>
      <xdr:row>0</xdr:row>
      <xdr:rowOff>548641</xdr:rowOff>
    </xdr:to>
    <xdr:pic>
      <xdr:nvPicPr>
        <xdr:cNvPr id="3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1" y="76201"/>
          <a:ext cx="180975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0</xdr:row>
      <xdr:rowOff>76201</xdr:rowOff>
    </xdr:from>
    <xdr:to>
      <xdr:col>2</xdr:col>
      <xdr:colOff>708661</xdr:colOff>
      <xdr:row>0</xdr:row>
      <xdr:rowOff>548641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1" y="76201"/>
          <a:ext cx="180975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57151</xdr:colOff>
      <xdr:row>0</xdr:row>
      <xdr:rowOff>76201</xdr:rowOff>
    </xdr:from>
    <xdr:to>
      <xdr:col>2</xdr:col>
      <xdr:colOff>708661</xdr:colOff>
      <xdr:row>0</xdr:row>
      <xdr:rowOff>548641</xdr:rowOff>
    </xdr:to>
    <xdr:pic>
      <xdr:nvPicPr>
        <xdr:cNvPr id="3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1" y="76201"/>
          <a:ext cx="180975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0</xdr:row>
      <xdr:rowOff>76201</xdr:rowOff>
    </xdr:from>
    <xdr:to>
      <xdr:col>2</xdr:col>
      <xdr:colOff>708661</xdr:colOff>
      <xdr:row>0</xdr:row>
      <xdr:rowOff>548641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6" y="76201"/>
          <a:ext cx="17754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57151</xdr:colOff>
      <xdr:row>0</xdr:row>
      <xdr:rowOff>76201</xdr:rowOff>
    </xdr:from>
    <xdr:to>
      <xdr:col>2</xdr:col>
      <xdr:colOff>708661</xdr:colOff>
      <xdr:row>0</xdr:row>
      <xdr:rowOff>548641</xdr:rowOff>
    </xdr:to>
    <xdr:pic>
      <xdr:nvPicPr>
        <xdr:cNvPr id="3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6" y="76201"/>
          <a:ext cx="17754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0</xdr:row>
      <xdr:rowOff>76201</xdr:rowOff>
    </xdr:from>
    <xdr:to>
      <xdr:col>2</xdr:col>
      <xdr:colOff>708661</xdr:colOff>
      <xdr:row>0</xdr:row>
      <xdr:rowOff>548641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6" y="76201"/>
          <a:ext cx="17754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57151</xdr:colOff>
      <xdr:row>0</xdr:row>
      <xdr:rowOff>76201</xdr:rowOff>
    </xdr:from>
    <xdr:to>
      <xdr:col>2</xdr:col>
      <xdr:colOff>708661</xdr:colOff>
      <xdr:row>0</xdr:row>
      <xdr:rowOff>548641</xdr:rowOff>
    </xdr:to>
    <xdr:pic>
      <xdr:nvPicPr>
        <xdr:cNvPr id="3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6" y="76201"/>
          <a:ext cx="17754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0</xdr:row>
      <xdr:rowOff>76201</xdr:rowOff>
    </xdr:from>
    <xdr:to>
      <xdr:col>2</xdr:col>
      <xdr:colOff>708661</xdr:colOff>
      <xdr:row>0</xdr:row>
      <xdr:rowOff>548641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1" y="76201"/>
          <a:ext cx="180975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57151</xdr:colOff>
      <xdr:row>0</xdr:row>
      <xdr:rowOff>76201</xdr:rowOff>
    </xdr:from>
    <xdr:to>
      <xdr:col>2</xdr:col>
      <xdr:colOff>708661</xdr:colOff>
      <xdr:row>0</xdr:row>
      <xdr:rowOff>548641</xdr:rowOff>
    </xdr:to>
    <xdr:pic>
      <xdr:nvPicPr>
        <xdr:cNvPr id="3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1" y="76201"/>
          <a:ext cx="180975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0</xdr:row>
      <xdr:rowOff>76201</xdr:rowOff>
    </xdr:from>
    <xdr:to>
      <xdr:col>2</xdr:col>
      <xdr:colOff>708661</xdr:colOff>
      <xdr:row>0</xdr:row>
      <xdr:rowOff>548641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1" y="76201"/>
          <a:ext cx="180975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57151</xdr:colOff>
      <xdr:row>0</xdr:row>
      <xdr:rowOff>76201</xdr:rowOff>
    </xdr:from>
    <xdr:to>
      <xdr:col>2</xdr:col>
      <xdr:colOff>708661</xdr:colOff>
      <xdr:row>0</xdr:row>
      <xdr:rowOff>548641</xdr:rowOff>
    </xdr:to>
    <xdr:pic>
      <xdr:nvPicPr>
        <xdr:cNvPr id="3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1" y="76201"/>
          <a:ext cx="180975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203835</xdr:colOff>
      <xdr:row>0</xdr:row>
      <xdr:rowOff>47625</xdr:rowOff>
    </xdr:from>
    <xdr:to>
      <xdr:col>2</xdr:col>
      <xdr:colOff>975360</xdr:colOff>
      <xdr:row>0</xdr:row>
      <xdr:rowOff>535164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7625"/>
          <a:ext cx="1960245" cy="48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203835</xdr:colOff>
      <xdr:row>0</xdr:row>
      <xdr:rowOff>47625</xdr:rowOff>
    </xdr:from>
    <xdr:to>
      <xdr:col>2</xdr:col>
      <xdr:colOff>975360</xdr:colOff>
      <xdr:row>0</xdr:row>
      <xdr:rowOff>535164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7625"/>
          <a:ext cx="1960245" cy="48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203835</xdr:colOff>
      <xdr:row>0</xdr:row>
      <xdr:rowOff>47625</xdr:rowOff>
    </xdr:from>
    <xdr:to>
      <xdr:col>2</xdr:col>
      <xdr:colOff>975360</xdr:colOff>
      <xdr:row>0</xdr:row>
      <xdr:rowOff>535164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7625"/>
          <a:ext cx="1960245" cy="48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203835</xdr:colOff>
      <xdr:row>0</xdr:row>
      <xdr:rowOff>47625</xdr:rowOff>
    </xdr:from>
    <xdr:to>
      <xdr:col>2</xdr:col>
      <xdr:colOff>975360</xdr:colOff>
      <xdr:row>0</xdr:row>
      <xdr:rowOff>535164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" y="47625"/>
          <a:ext cx="1924050" cy="48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76201</xdr:rowOff>
    </xdr:from>
    <xdr:to>
      <xdr:col>2</xdr:col>
      <xdr:colOff>915799</xdr:colOff>
      <xdr:row>0</xdr:row>
      <xdr:rowOff>548641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" y="76201"/>
          <a:ext cx="2016889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203835</xdr:colOff>
      <xdr:row>0</xdr:row>
      <xdr:rowOff>47625</xdr:rowOff>
    </xdr:from>
    <xdr:to>
      <xdr:col>2</xdr:col>
      <xdr:colOff>975360</xdr:colOff>
      <xdr:row>0</xdr:row>
      <xdr:rowOff>535164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7625"/>
          <a:ext cx="1960245" cy="48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203835</xdr:colOff>
      <xdr:row>0</xdr:row>
      <xdr:rowOff>47625</xdr:rowOff>
    </xdr:from>
    <xdr:to>
      <xdr:col>2</xdr:col>
      <xdr:colOff>975360</xdr:colOff>
      <xdr:row>0</xdr:row>
      <xdr:rowOff>535164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7625"/>
          <a:ext cx="1960245" cy="48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203835</xdr:colOff>
      <xdr:row>0</xdr:row>
      <xdr:rowOff>47625</xdr:rowOff>
    </xdr:from>
    <xdr:to>
      <xdr:col>2</xdr:col>
      <xdr:colOff>975360</xdr:colOff>
      <xdr:row>0</xdr:row>
      <xdr:rowOff>535164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7625"/>
          <a:ext cx="1960245" cy="48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203835</xdr:colOff>
      <xdr:row>0</xdr:row>
      <xdr:rowOff>47625</xdr:rowOff>
    </xdr:from>
    <xdr:to>
      <xdr:col>2</xdr:col>
      <xdr:colOff>975360</xdr:colOff>
      <xdr:row>0</xdr:row>
      <xdr:rowOff>535164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7625"/>
          <a:ext cx="1960245" cy="48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203835</xdr:colOff>
      <xdr:row>0</xdr:row>
      <xdr:rowOff>47625</xdr:rowOff>
    </xdr:from>
    <xdr:to>
      <xdr:col>2</xdr:col>
      <xdr:colOff>975360</xdr:colOff>
      <xdr:row>0</xdr:row>
      <xdr:rowOff>535164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7625"/>
          <a:ext cx="1960245" cy="48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203835</xdr:colOff>
      <xdr:row>0</xdr:row>
      <xdr:rowOff>47625</xdr:rowOff>
    </xdr:from>
    <xdr:to>
      <xdr:col>2</xdr:col>
      <xdr:colOff>975360</xdr:colOff>
      <xdr:row>0</xdr:row>
      <xdr:rowOff>535164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7625"/>
          <a:ext cx="1960245" cy="48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203835</xdr:colOff>
      <xdr:row>0</xdr:row>
      <xdr:rowOff>47625</xdr:rowOff>
    </xdr:from>
    <xdr:to>
      <xdr:col>2</xdr:col>
      <xdr:colOff>975360</xdr:colOff>
      <xdr:row>0</xdr:row>
      <xdr:rowOff>535164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7625"/>
          <a:ext cx="1960245" cy="48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203835</xdr:colOff>
      <xdr:row>0</xdr:row>
      <xdr:rowOff>47625</xdr:rowOff>
    </xdr:from>
    <xdr:to>
      <xdr:col>2</xdr:col>
      <xdr:colOff>975360</xdr:colOff>
      <xdr:row>0</xdr:row>
      <xdr:rowOff>535164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" y="47625"/>
          <a:ext cx="1924050" cy="48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203835</xdr:colOff>
      <xdr:row>0</xdr:row>
      <xdr:rowOff>47625</xdr:rowOff>
    </xdr:from>
    <xdr:to>
      <xdr:col>2</xdr:col>
      <xdr:colOff>975360</xdr:colOff>
      <xdr:row>0</xdr:row>
      <xdr:rowOff>535164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7625"/>
          <a:ext cx="1960245" cy="48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203835</xdr:colOff>
      <xdr:row>0</xdr:row>
      <xdr:rowOff>47625</xdr:rowOff>
    </xdr:from>
    <xdr:to>
      <xdr:col>2</xdr:col>
      <xdr:colOff>975360</xdr:colOff>
      <xdr:row>0</xdr:row>
      <xdr:rowOff>535164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7625"/>
          <a:ext cx="1960245" cy="48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0</xdr:row>
      <xdr:rowOff>76201</xdr:rowOff>
    </xdr:from>
    <xdr:to>
      <xdr:col>2</xdr:col>
      <xdr:colOff>708661</xdr:colOff>
      <xdr:row>0</xdr:row>
      <xdr:rowOff>548641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1" y="76201"/>
          <a:ext cx="180975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203835</xdr:colOff>
      <xdr:row>0</xdr:row>
      <xdr:rowOff>47625</xdr:rowOff>
    </xdr:from>
    <xdr:to>
      <xdr:col>2</xdr:col>
      <xdr:colOff>975360</xdr:colOff>
      <xdr:row>0</xdr:row>
      <xdr:rowOff>535164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7625"/>
          <a:ext cx="1960245" cy="48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203835</xdr:colOff>
      <xdr:row>0</xdr:row>
      <xdr:rowOff>47625</xdr:rowOff>
    </xdr:from>
    <xdr:to>
      <xdr:col>2</xdr:col>
      <xdr:colOff>975360</xdr:colOff>
      <xdr:row>0</xdr:row>
      <xdr:rowOff>535164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7625"/>
          <a:ext cx="1960245" cy="48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0</xdr:row>
      <xdr:rowOff>76201</xdr:rowOff>
    </xdr:from>
    <xdr:to>
      <xdr:col>2</xdr:col>
      <xdr:colOff>708661</xdr:colOff>
      <xdr:row>0</xdr:row>
      <xdr:rowOff>548641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1" y="76201"/>
          <a:ext cx="180975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0</xdr:row>
      <xdr:rowOff>76201</xdr:rowOff>
    </xdr:from>
    <xdr:to>
      <xdr:col>2</xdr:col>
      <xdr:colOff>708661</xdr:colOff>
      <xdr:row>0</xdr:row>
      <xdr:rowOff>548641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1" y="76201"/>
          <a:ext cx="180975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0</xdr:row>
      <xdr:rowOff>76201</xdr:rowOff>
    </xdr:from>
    <xdr:to>
      <xdr:col>2</xdr:col>
      <xdr:colOff>708661</xdr:colOff>
      <xdr:row>0</xdr:row>
      <xdr:rowOff>548641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1" y="76201"/>
          <a:ext cx="180975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57151</xdr:colOff>
      <xdr:row>0</xdr:row>
      <xdr:rowOff>76201</xdr:rowOff>
    </xdr:from>
    <xdr:to>
      <xdr:col>2</xdr:col>
      <xdr:colOff>708661</xdr:colOff>
      <xdr:row>0</xdr:row>
      <xdr:rowOff>548641</xdr:rowOff>
    </xdr:to>
    <xdr:pic>
      <xdr:nvPicPr>
        <xdr:cNvPr id="3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1" y="76201"/>
          <a:ext cx="180975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0</xdr:row>
      <xdr:rowOff>76201</xdr:rowOff>
    </xdr:from>
    <xdr:to>
      <xdr:col>2</xdr:col>
      <xdr:colOff>708661</xdr:colOff>
      <xdr:row>0</xdr:row>
      <xdr:rowOff>548641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1" y="76201"/>
          <a:ext cx="180975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57151</xdr:colOff>
      <xdr:row>0</xdr:row>
      <xdr:rowOff>76201</xdr:rowOff>
    </xdr:from>
    <xdr:to>
      <xdr:col>2</xdr:col>
      <xdr:colOff>708661</xdr:colOff>
      <xdr:row>0</xdr:row>
      <xdr:rowOff>548641</xdr:rowOff>
    </xdr:to>
    <xdr:pic>
      <xdr:nvPicPr>
        <xdr:cNvPr id="3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1" y="76201"/>
          <a:ext cx="180975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0</xdr:row>
      <xdr:rowOff>76201</xdr:rowOff>
    </xdr:from>
    <xdr:to>
      <xdr:col>2</xdr:col>
      <xdr:colOff>708661</xdr:colOff>
      <xdr:row>0</xdr:row>
      <xdr:rowOff>548641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1" y="76201"/>
          <a:ext cx="180975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57151</xdr:colOff>
      <xdr:row>0</xdr:row>
      <xdr:rowOff>76201</xdr:rowOff>
    </xdr:from>
    <xdr:to>
      <xdr:col>2</xdr:col>
      <xdr:colOff>708661</xdr:colOff>
      <xdr:row>0</xdr:row>
      <xdr:rowOff>548641</xdr:rowOff>
    </xdr:to>
    <xdr:pic>
      <xdr:nvPicPr>
        <xdr:cNvPr id="3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1" y="76201"/>
          <a:ext cx="180975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0</xdr:row>
      <xdr:rowOff>76201</xdr:rowOff>
    </xdr:from>
    <xdr:to>
      <xdr:col>2</xdr:col>
      <xdr:colOff>708661</xdr:colOff>
      <xdr:row>0</xdr:row>
      <xdr:rowOff>548641</xdr:rowOff>
    </xdr:to>
    <xdr:pic>
      <xdr:nvPicPr>
        <xdr:cNvPr id="2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1" y="76201"/>
          <a:ext cx="180975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57151</xdr:colOff>
      <xdr:row>0</xdr:row>
      <xdr:rowOff>76201</xdr:rowOff>
    </xdr:from>
    <xdr:to>
      <xdr:col>2</xdr:col>
      <xdr:colOff>708661</xdr:colOff>
      <xdr:row>0</xdr:row>
      <xdr:rowOff>548641</xdr:rowOff>
    </xdr:to>
    <xdr:pic>
      <xdr:nvPicPr>
        <xdr:cNvPr id="3" name="logoALNG" descr="Adriatic L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1" y="76201"/>
          <a:ext cx="180975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3" zoomScaleNormal="100" workbookViewId="0">
      <selection activeCell="O30" sqref="O30"/>
    </sheetView>
  </sheetViews>
  <sheetFormatPr defaultRowHeight="12.75"/>
  <cols>
    <col min="1" max="1" width="10.140625" customWidth="1"/>
    <col min="2" max="2" width="16.85546875" customWidth="1"/>
    <col min="3" max="3" width="16.5703125" customWidth="1"/>
    <col min="4" max="4" width="19.85546875" customWidth="1"/>
    <col min="5" max="6" width="17.140625" customWidth="1"/>
    <col min="7" max="7" width="19.85546875" customWidth="1"/>
    <col min="8" max="8" width="16.85546875" customWidth="1"/>
    <col min="9" max="9" width="17.140625" customWidth="1"/>
  </cols>
  <sheetData>
    <row r="1" spans="1:9" ht="52.9" customHeight="1" thickBot="1">
      <c r="A1" s="151" t="s">
        <v>21</v>
      </c>
      <c r="B1" s="151"/>
      <c r="C1" s="151"/>
      <c r="D1" s="151"/>
      <c r="E1" s="151"/>
      <c r="F1" s="151"/>
      <c r="G1" s="151"/>
      <c r="H1" s="151"/>
      <c r="I1" s="151"/>
    </row>
    <row r="2" spans="1:9" ht="15" customHeight="1">
      <c r="A2" s="152" t="s">
        <v>11</v>
      </c>
      <c r="B2" s="153" t="s">
        <v>2</v>
      </c>
      <c r="C2" s="154"/>
      <c r="D2" s="155" t="s">
        <v>12</v>
      </c>
      <c r="E2" s="157" t="s">
        <v>8</v>
      </c>
      <c r="F2" s="158"/>
      <c r="G2" s="159" t="s">
        <v>9</v>
      </c>
      <c r="H2" s="161" t="s">
        <v>10</v>
      </c>
      <c r="I2" s="162"/>
    </row>
    <row r="3" spans="1:9" ht="15" customHeight="1">
      <c r="A3" s="152"/>
      <c r="B3" s="5" t="s">
        <v>1</v>
      </c>
      <c r="C3" s="10" t="s">
        <v>15</v>
      </c>
      <c r="D3" s="156"/>
      <c r="E3" s="2" t="s">
        <v>1</v>
      </c>
      <c r="F3" s="11" t="s">
        <v>15</v>
      </c>
      <c r="G3" s="160"/>
      <c r="H3" s="12" t="s">
        <v>1</v>
      </c>
      <c r="I3" s="13" t="s">
        <v>15</v>
      </c>
    </row>
    <row r="4" spans="1:9" ht="15" customHeight="1">
      <c r="A4" s="30">
        <v>1</v>
      </c>
      <c r="B4" s="15">
        <v>395658.64</v>
      </c>
      <c r="C4" s="16">
        <f>(B4/3.6)*1000</f>
        <v>109905177.77777778</v>
      </c>
      <c r="D4" s="3" t="s">
        <v>14</v>
      </c>
      <c r="E4" s="27">
        <v>3341285.1749999998</v>
      </c>
      <c r="F4" s="16">
        <f>(E4/3.6)*1000</f>
        <v>928134770.83333325</v>
      </c>
      <c r="G4" s="3" t="s">
        <v>14</v>
      </c>
      <c r="H4" s="15">
        <v>412330.24701694358</v>
      </c>
      <c r="I4" s="17">
        <f t="shared" ref="I4:I14" si="0">(H4/3.6)*1000</f>
        <v>114536179.72692877</v>
      </c>
    </row>
    <row r="5" spans="1:9" ht="15" customHeight="1">
      <c r="A5" s="30">
        <f>A4+1</f>
        <v>2</v>
      </c>
      <c r="B5" s="15">
        <v>494643.75400000002</v>
      </c>
      <c r="C5" s="16">
        <f>(B5/3.6)*1000</f>
        <v>137401042.77777776</v>
      </c>
      <c r="D5" s="3" t="s">
        <v>14</v>
      </c>
      <c r="E5" s="15"/>
      <c r="F5" s="16"/>
      <c r="G5" s="3"/>
      <c r="H5" s="15">
        <v>2514062.1829464845</v>
      </c>
      <c r="I5" s="17">
        <f t="shared" si="0"/>
        <v>698350606.37402344</v>
      </c>
    </row>
    <row r="6" spans="1:9" ht="15" customHeight="1">
      <c r="A6" s="31">
        <f t="shared" ref="A6:A34" si="1">A5+1</f>
        <v>3</v>
      </c>
      <c r="B6" s="15">
        <v>514164.97700000001</v>
      </c>
      <c r="C6" s="16">
        <f>(B6/3.6)*1000</f>
        <v>142823604.72222224</v>
      </c>
      <c r="D6" s="3" t="s">
        <v>14</v>
      </c>
      <c r="E6" s="27">
        <v>3464545.4840000002</v>
      </c>
      <c r="F6" s="16">
        <f>(E6/3.6)*1000</f>
        <v>962373745.55555558</v>
      </c>
      <c r="G6" s="3" t="s">
        <v>14</v>
      </c>
      <c r="H6" s="15">
        <v>2858583.4445466795</v>
      </c>
      <c r="I6" s="17">
        <f t="shared" si="0"/>
        <v>794050956.8185221</v>
      </c>
    </row>
    <row r="7" spans="1:9" ht="15" customHeight="1">
      <c r="A7" s="31">
        <f t="shared" si="1"/>
        <v>4</v>
      </c>
      <c r="B7" s="15">
        <v>514324.45699999999</v>
      </c>
      <c r="C7" s="16">
        <f>(B7/3.6)*1000</f>
        <v>142867904.72222221</v>
      </c>
      <c r="D7" s="3" t="s">
        <v>14</v>
      </c>
      <c r="E7" s="27"/>
      <c r="F7" s="21"/>
      <c r="G7" s="20"/>
      <c r="H7" s="15">
        <v>4453655.5848642588</v>
      </c>
      <c r="I7" s="17">
        <f t="shared" si="0"/>
        <v>1237126551.3511829</v>
      </c>
    </row>
    <row r="8" spans="1:9" ht="15" customHeight="1">
      <c r="A8" s="30">
        <f t="shared" si="1"/>
        <v>5</v>
      </c>
      <c r="B8" s="15">
        <v>514454.78499999997</v>
      </c>
      <c r="C8" s="16">
        <f t="shared" ref="C8:C14" si="2">(B8/3.6)*1000</f>
        <v>142904106.94444445</v>
      </c>
      <c r="D8" s="3" t="s">
        <v>14</v>
      </c>
      <c r="E8" s="33"/>
      <c r="F8" s="21"/>
      <c r="G8" s="3"/>
      <c r="H8" s="15">
        <v>5290519.706442764</v>
      </c>
      <c r="I8" s="17">
        <f t="shared" si="0"/>
        <v>1469588807.3452122</v>
      </c>
    </row>
    <row r="9" spans="1:9" ht="15" customHeight="1">
      <c r="A9" s="38">
        <f t="shared" si="1"/>
        <v>6</v>
      </c>
      <c r="B9" s="15">
        <v>514571.59499999997</v>
      </c>
      <c r="C9" s="16">
        <f t="shared" si="2"/>
        <v>142936554.16666666</v>
      </c>
      <c r="D9" s="3" t="s">
        <v>14</v>
      </c>
      <c r="E9" s="33"/>
      <c r="F9" s="21"/>
      <c r="G9" s="3"/>
      <c r="H9" s="15">
        <v>4767873.2559091831</v>
      </c>
      <c r="I9" s="17">
        <f t="shared" si="0"/>
        <v>1324409237.7525508</v>
      </c>
    </row>
    <row r="10" spans="1:9" ht="15" customHeight="1">
      <c r="A10" s="30">
        <f t="shared" si="1"/>
        <v>7</v>
      </c>
      <c r="B10" s="15">
        <v>1030669.676</v>
      </c>
      <c r="C10" s="16">
        <f t="shared" si="2"/>
        <v>286297132.22222221</v>
      </c>
      <c r="D10" s="3" t="s">
        <v>14</v>
      </c>
      <c r="E10" s="22"/>
      <c r="F10" s="21"/>
      <c r="G10" s="16"/>
      <c r="H10" s="15">
        <v>4241334.9000000004</v>
      </c>
      <c r="I10" s="17">
        <f t="shared" si="0"/>
        <v>1178148583.3333335</v>
      </c>
    </row>
    <row r="11" spans="1:9" ht="15" customHeight="1">
      <c r="A11" s="30">
        <f t="shared" si="1"/>
        <v>8</v>
      </c>
      <c r="B11" s="15">
        <v>1030364.575</v>
      </c>
      <c r="C11" s="16">
        <f t="shared" si="2"/>
        <v>286212381.94444442</v>
      </c>
      <c r="D11" s="3" t="s">
        <v>14</v>
      </c>
      <c r="E11" s="24">
        <f>3329852626/1000</f>
        <v>3329852.6260000002</v>
      </c>
      <c r="F11" s="16">
        <f>(E11/3.6)*1000</f>
        <v>924959062.77777779</v>
      </c>
      <c r="G11" s="3" t="s">
        <v>14</v>
      </c>
      <c r="H11" s="15">
        <v>3197949.5</v>
      </c>
      <c r="I11" s="17">
        <f t="shared" si="0"/>
        <v>888319305.55555546</v>
      </c>
    </row>
    <row r="12" spans="1:9" ht="15" customHeight="1">
      <c r="A12" s="30">
        <f t="shared" si="1"/>
        <v>9</v>
      </c>
      <c r="B12" s="15">
        <v>1030328.349</v>
      </c>
      <c r="C12" s="16">
        <f t="shared" si="2"/>
        <v>286202319.16666663</v>
      </c>
      <c r="D12" s="3" t="s">
        <v>14</v>
      </c>
      <c r="E12" s="15"/>
      <c r="F12" s="16"/>
      <c r="G12" s="3"/>
      <c r="H12" s="15">
        <v>5501981.8000000007</v>
      </c>
      <c r="I12" s="17">
        <f t="shared" si="0"/>
        <v>1528328277.7777779</v>
      </c>
    </row>
    <row r="13" spans="1:9" ht="15" customHeight="1">
      <c r="A13" s="31">
        <f t="shared" si="1"/>
        <v>10</v>
      </c>
      <c r="B13" s="15">
        <v>1030690.139</v>
      </c>
      <c r="C13" s="16">
        <f t="shared" si="2"/>
        <v>286302816.3888889</v>
      </c>
      <c r="D13" s="3" t="s">
        <v>14</v>
      </c>
      <c r="E13" s="24"/>
      <c r="F13" s="21"/>
      <c r="G13" s="9"/>
      <c r="H13" s="15">
        <v>4455897.2</v>
      </c>
      <c r="I13" s="17">
        <f t="shared" si="0"/>
        <v>1237749222.2222223</v>
      </c>
    </row>
    <row r="14" spans="1:9" ht="15" customHeight="1">
      <c r="A14" s="31">
        <f t="shared" si="1"/>
        <v>11</v>
      </c>
      <c r="B14" s="15">
        <v>1030390.268</v>
      </c>
      <c r="C14" s="16">
        <f t="shared" si="2"/>
        <v>286219518.8888889</v>
      </c>
      <c r="D14" s="3" t="s">
        <v>14</v>
      </c>
      <c r="E14" s="24">
        <f>3328457039/1000</f>
        <v>3328457.0389999999</v>
      </c>
      <c r="F14" s="16">
        <f>(E14/3.6)*1000</f>
        <v>924571399.72222209</v>
      </c>
      <c r="G14" s="3" t="s">
        <v>14</v>
      </c>
      <c r="H14" s="15">
        <v>3412945.6</v>
      </c>
      <c r="I14" s="17">
        <f t="shared" si="0"/>
        <v>948040444.44444454</v>
      </c>
    </row>
    <row r="15" spans="1:9" ht="15" customHeight="1">
      <c r="A15" s="30">
        <f t="shared" si="1"/>
        <v>12</v>
      </c>
      <c r="B15" s="15">
        <v>1030424.355</v>
      </c>
      <c r="C15" s="16">
        <f t="shared" ref="C15:C21" si="3">(B15/3.6)*1000</f>
        <v>286228987.5</v>
      </c>
      <c r="D15" s="3" t="s">
        <v>14</v>
      </c>
      <c r="E15" s="24"/>
      <c r="F15" s="21"/>
      <c r="G15" s="9"/>
      <c r="H15" s="15">
        <v>5506633.1000000006</v>
      </c>
      <c r="I15" s="17">
        <f>(H15/3.6)*1000</f>
        <v>1529620305.5555558</v>
      </c>
    </row>
    <row r="16" spans="1:9" ht="15" customHeight="1">
      <c r="A16" s="30">
        <f t="shared" si="1"/>
        <v>13</v>
      </c>
      <c r="B16" s="15">
        <v>930007.15399999998</v>
      </c>
      <c r="C16" s="16">
        <f t="shared" si="3"/>
        <v>258335320.55555555</v>
      </c>
      <c r="D16" s="3" t="s">
        <v>14</v>
      </c>
      <c r="E16" s="24"/>
      <c r="F16" s="21"/>
      <c r="G16" s="9"/>
      <c r="H16" s="15">
        <v>4677062.9000000004</v>
      </c>
      <c r="I16" s="17">
        <f>(H16/3.6)*1000</f>
        <v>1299184138.8888891</v>
      </c>
    </row>
    <row r="17" spans="1:9" ht="15" customHeight="1">
      <c r="A17" s="30">
        <f t="shared" si="1"/>
        <v>14</v>
      </c>
      <c r="B17" s="15">
        <v>1030822.183</v>
      </c>
      <c r="C17" s="16">
        <f t="shared" si="3"/>
        <v>286339495.27777779</v>
      </c>
      <c r="D17" s="3" t="s">
        <v>14</v>
      </c>
      <c r="E17" s="23">
        <v>3472835.318</v>
      </c>
      <c r="F17" s="16">
        <f>(E17/3.6)*1000</f>
        <v>964676477.22222209</v>
      </c>
      <c r="G17" s="9" t="s">
        <v>14</v>
      </c>
      <c r="H17" s="15">
        <v>3735727.3132240237</v>
      </c>
      <c r="I17" s="17">
        <f>(H17/3.6)*1000</f>
        <v>1037702031.4511178</v>
      </c>
    </row>
    <row r="18" spans="1:9" ht="15" customHeight="1">
      <c r="A18" s="30">
        <f t="shared" si="1"/>
        <v>15</v>
      </c>
      <c r="B18" s="15">
        <v>1030233.922</v>
      </c>
      <c r="C18" s="16">
        <f t="shared" si="3"/>
        <v>286176089.44444448</v>
      </c>
      <c r="D18" s="3" t="s">
        <v>14</v>
      </c>
      <c r="E18" s="23"/>
      <c r="F18" s="21"/>
      <c r="G18" s="20"/>
      <c r="H18" s="15">
        <v>3298759.8000000003</v>
      </c>
      <c r="I18" s="17">
        <f>(H18/3.6)*1000</f>
        <v>916322166.66666675</v>
      </c>
    </row>
    <row r="19" spans="1:9" ht="15" customHeight="1">
      <c r="A19" s="30">
        <f t="shared" si="1"/>
        <v>16</v>
      </c>
      <c r="B19" s="15">
        <v>832411.55299999996</v>
      </c>
      <c r="C19" s="16">
        <f t="shared" si="3"/>
        <v>231225431.38888887</v>
      </c>
      <c r="D19" s="3" t="s">
        <v>14</v>
      </c>
      <c r="E19" s="24"/>
      <c r="F19" s="21"/>
      <c r="G19" s="3"/>
      <c r="H19" s="15">
        <v>5141710.9000000004</v>
      </c>
      <c r="I19" s="17">
        <f t="shared" ref="I19:I34" si="4">(H19/3.6)*1000</f>
        <v>1428253027.7777777</v>
      </c>
    </row>
    <row r="20" spans="1:9" ht="15" customHeight="1">
      <c r="A20" s="31">
        <f t="shared" si="1"/>
        <v>17</v>
      </c>
      <c r="B20" s="15">
        <v>633668.95600000001</v>
      </c>
      <c r="C20" s="16">
        <f t="shared" si="3"/>
        <v>176019154.44444442</v>
      </c>
      <c r="D20" s="3" t="s">
        <v>14</v>
      </c>
      <c r="E20" s="24"/>
      <c r="F20" s="21"/>
      <c r="G20" s="20"/>
      <c r="H20" s="15">
        <v>4298548.3</v>
      </c>
      <c r="I20" s="17">
        <f t="shared" si="4"/>
        <v>1194041194.4444442</v>
      </c>
    </row>
    <row r="21" spans="1:9" ht="15" customHeight="1">
      <c r="A21" s="31">
        <f t="shared" si="1"/>
        <v>18</v>
      </c>
      <c r="B21" s="15">
        <v>633899.84699999995</v>
      </c>
      <c r="C21" s="16">
        <f t="shared" si="3"/>
        <v>176083290.83333331</v>
      </c>
      <c r="D21" s="3" t="s">
        <v>14</v>
      </c>
      <c r="E21" s="23"/>
      <c r="F21" s="21"/>
      <c r="G21" s="3"/>
      <c r="H21" s="15">
        <v>3664573.7</v>
      </c>
      <c r="I21" s="17">
        <f t="shared" si="4"/>
        <v>1017937138.8888888</v>
      </c>
    </row>
    <row r="22" spans="1:9" ht="15" customHeight="1">
      <c r="A22" s="30">
        <f t="shared" si="1"/>
        <v>19</v>
      </c>
      <c r="B22" s="15">
        <v>753103.23400000005</v>
      </c>
      <c r="C22" s="16">
        <f t="shared" ref="C22:C29" si="5">(B22/3.6)*1000</f>
        <v>209195342.77777779</v>
      </c>
      <c r="D22" s="3" t="s">
        <v>14</v>
      </c>
      <c r="E22" s="15"/>
      <c r="F22" s="21"/>
      <c r="G22" s="9"/>
      <c r="H22" s="15">
        <v>3020401.2932852539</v>
      </c>
      <c r="I22" s="17">
        <f t="shared" si="4"/>
        <v>839000359.24590373</v>
      </c>
    </row>
    <row r="23" spans="1:9" ht="15" customHeight="1">
      <c r="A23" s="30">
        <f t="shared" si="1"/>
        <v>20</v>
      </c>
      <c r="B23" s="15">
        <v>753397.01199999999</v>
      </c>
      <c r="C23" s="16">
        <f t="shared" si="5"/>
        <v>209276947.77777776</v>
      </c>
      <c r="D23" s="3" t="s">
        <v>14</v>
      </c>
      <c r="E23" s="15"/>
      <c r="F23" s="21"/>
      <c r="G23" s="3"/>
      <c r="H23" s="15">
        <v>2257885.2526632813</v>
      </c>
      <c r="I23" s="17">
        <f t="shared" si="4"/>
        <v>627190347.96202254</v>
      </c>
    </row>
    <row r="24" spans="1:9" ht="15" customHeight="1">
      <c r="A24" s="30">
        <f t="shared" si="1"/>
        <v>21</v>
      </c>
      <c r="B24" s="15">
        <v>753459.03500000003</v>
      </c>
      <c r="C24" s="16">
        <f t="shared" si="5"/>
        <v>209294176.3888889</v>
      </c>
      <c r="D24" s="3" t="s">
        <v>14</v>
      </c>
      <c r="E24" s="15">
        <v>3468351.3450000002</v>
      </c>
      <c r="F24" s="16">
        <f>(E24/3.6)*1000</f>
        <v>963430929.16666675</v>
      </c>
      <c r="G24" s="3" t="s">
        <v>14</v>
      </c>
      <c r="H24" s="15">
        <v>1493588.7051239258</v>
      </c>
      <c r="I24" s="17">
        <f t="shared" si="4"/>
        <v>414885751.42331272</v>
      </c>
    </row>
    <row r="25" spans="1:9" ht="15" customHeight="1">
      <c r="A25" s="30">
        <f t="shared" si="1"/>
        <v>22</v>
      </c>
      <c r="B25" s="15">
        <v>752413.98800000001</v>
      </c>
      <c r="C25" s="16">
        <f t="shared" si="5"/>
        <v>209003885.55555555</v>
      </c>
      <c r="D25" s="3" t="s">
        <v>14</v>
      </c>
      <c r="E25" s="19"/>
      <c r="F25" s="16"/>
      <c r="G25" s="3"/>
      <c r="H25" s="15">
        <v>1871070.1847470703</v>
      </c>
      <c r="I25" s="17">
        <f t="shared" si="4"/>
        <v>519741717.98529732</v>
      </c>
    </row>
    <row r="26" spans="1:9" ht="15" customHeight="1">
      <c r="A26" s="30">
        <f t="shared" si="1"/>
        <v>23</v>
      </c>
      <c r="B26" s="15">
        <v>752185.68400000001</v>
      </c>
      <c r="C26" s="16">
        <f t="shared" si="5"/>
        <v>208940467.77777779</v>
      </c>
      <c r="D26" s="3" t="s">
        <v>14</v>
      </c>
      <c r="E26" s="15"/>
      <c r="F26" s="16"/>
      <c r="G26" s="3"/>
      <c r="H26" s="15">
        <v>3451095.9000000004</v>
      </c>
      <c r="I26" s="17">
        <f t="shared" si="4"/>
        <v>958637750.00000012</v>
      </c>
    </row>
    <row r="27" spans="1:9" ht="15" customHeight="1">
      <c r="A27" s="31">
        <f t="shared" si="1"/>
        <v>24</v>
      </c>
      <c r="B27" s="15">
        <f>633414241/1000</f>
        <v>633414.24100000004</v>
      </c>
      <c r="C27" s="16">
        <f t="shared" si="5"/>
        <v>175948400.27777779</v>
      </c>
      <c r="D27" s="3" t="s">
        <v>14</v>
      </c>
      <c r="E27" s="15">
        <f>3329097096/1000</f>
        <v>3329097.0959999999</v>
      </c>
      <c r="F27" s="16">
        <f>(E27/3.6)*1000</f>
        <v>924749193.33333325</v>
      </c>
      <c r="G27" s="3" t="s">
        <v>14</v>
      </c>
      <c r="H27" s="15">
        <v>2694476.4000000004</v>
      </c>
      <c r="I27" s="17">
        <f t="shared" si="4"/>
        <v>748465666.66666675</v>
      </c>
    </row>
    <row r="28" spans="1:9" ht="15" customHeight="1">
      <c r="A28" s="31">
        <f t="shared" si="1"/>
        <v>25</v>
      </c>
      <c r="B28" s="15">
        <f>633470762/1000</f>
        <v>633470.76199999999</v>
      </c>
      <c r="C28" s="16">
        <f t="shared" si="5"/>
        <v>175964100.55555555</v>
      </c>
      <c r="D28" s="3" t="s">
        <v>14</v>
      </c>
      <c r="E28" s="15"/>
      <c r="F28" s="16"/>
      <c r="G28" s="3"/>
      <c r="H28" s="15">
        <v>4471275.488983985</v>
      </c>
      <c r="I28" s="17">
        <f t="shared" si="4"/>
        <v>1242020969.1622181</v>
      </c>
    </row>
    <row r="29" spans="1:9" ht="15" customHeight="1">
      <c r="A29" s="30">
        <f t="shared" si="1"/>
        <v>26</v>
      </c>
      <c r="B29" s="15">
        <f>632937030/1000</f>
        <v>632937.03</v>
      </c>
      <c r="C29" s="16">
        <f t="shared" si="5"/>
        <v>175815841.66666669</v>
      </c>
      <c r="D29" s="3" t="s">
        <v>14</v>
      </c>
      <c r="E29" s="15"/>
      <c r="F29" s="16"/>
      <c r="G29" s="3"/>
      <c r="H29" s="15">
        <v>4757914.1067638667</v>
      </c>
      <c r="I29" s="17">
        <f t="shared" si="4"/>
        <v>1321642807.4344072</v>
      </c>
    </row>
    <row r="30" spans="1:9" ht="15" customHeight="1">
      <c r="A30" s="30">
        <f t="shared" si="1"/>
        <v>27</v>
      </c>
      <c r="B30" s="15">
        <f>633671602/1000</f>
        <v>633671.60199999996</v>
      </c>
      <c r="C30" s="16">
        <f>(B30/3.6)*1000</f>
        <v>176019889.44444442</v>
      </c>
      <c r="D30" s="3" t="s">
        <v>14</v>
      </c>
      <c r="E30" s="15"/>
      <c r="F30" s="16"/>
      <c r="G30" s="3"/>
      <c r="H30" s="15">
        <v>4110293.9403751958</v>
      </c>
      <c r="I30" s="17">
        <f t="shared" si="4"/>
        <v>1141748316.7708876</v>
      </c>
    </row>
    <row r="31" spans="1:9" ht="15" customHeight="1">
      <c r="A31" s="30">
        <f t="shared" si="1"/>
        <v>28</v>
      </c>
      <c r="B31" s="15">
        <f>665484756/1000</f>
        <v>665484.75600000005</v>
      </c>
      <c r="C31" s="16">
        <f>(B31/3.6)*1000</f>
        <v>184856876.66666669</v>
      </c>
      <c r="D31" s="3" t="s">
        <v>14</v>
      </c>
      <c r="E31" s="15"/>
      <c r="F31" s="16"/>
      <c r="G31" s="3"/>
      <c r="H31" s="15">
        <v>3474998.6282732422</v>
      </c>
      <c r="I31" s="17">
        <f t="shared" si="4"/>
        <v>965277396.74256718</v>
      </c>
    </row>
    <row r="32" spans="1:9" ht="15" customHeight="1">
      <c r="A32" s="30">
        <f t="shared" si="1"/>
        <v>29</v>
      </c>
      <c r="B32" s="15">
        <f>799290803/1000</f>
        <v>799290.80299999996</v>
      </c>
      <c r="C32" s="16">
        <f>(B32/3.6)*1000</f>
        <v>222025223.05555555</v>
      </c>
      <c r="D32" s="3" t="s">
        <v>14</v>
      </c>
      <c r="E32" s="15"/>
      <c r="F32" s="21"/>
      <c r="G32" s="3"/>
      <c r="H32" s="15">
        <v>2792965.3090160154</v>
      </c>
      <c r="I32" s="17">
        <f t="shared" si="4"/>
        <v>775823696.94889319</v>
      </c>
    </row>
    <row r="33" spans="1:10" ht="15.95" customHeight="1">
      <c r="A33" s="30">
        <f t="shared" si="1"/>
        <v>30</v>
      </c>
      <c r="B33" s="15">
        <f>633330465/1000</f>
        <v>633330.46499999997</v>
      </c>
      <c r="C33" s="16">
        <f>(B33/3.6)*1000</f>
        <v>175925129.16666666</v>
      </c>
      <c r="D33" s="3" t="s">
        <v>14</v>
      </c>
      <c r="E33" s="15"/>
      <c r="F33" s="16"/>
      <c r="G33" s="3"/>
      <c r="H33" s="15">
        <v>1980597.4701155275</v>
      </c>
      <c r="I33" s="17">
        <f t="shared" si="4"/>
        <v>550165963.92097986</v>
      </c>
    </row>
    <row r="34" spans="1:10" ht="15.95" customHeight="1">
      <c r="A34" s="31">
        <f t="shared" si="1"/>
        <v>31</v>
      </c>
      <c r="B34" s="15">
        <f>633615045/1000</f>
        <v>633615.04500000004</v>
      </c>
      <c r="C34" s="16">
        <f>(B34/3.6)*1000</f>
        <v>176004179.16666666</v>
      </c>
      <c r="D34" s="3" t="s">
        <v>14</v>
      </c>
      <c r="E34" s="15"/>
      <c r="F34" s="16"/>
      <c r="G34" s="3"/>
      <c r="H34" s="15">
        <v>1342221.6630643555</v>
      </c>
      <c r="I34" s="17">
        <f t="shared" si="4"/>
        <v>372839350.85120982</v>
      </c>
    </row>
    <row r="35" spans="1:10" ht="30" customHeight="1">
      <c r="A35" s="7" t="s">
        <v>3</v>
      </c>
      <c r="B35" s="163" t="s">
        <v>17</v>
      </c>
      <c r="C35" s="163"/>
      <c r="D35" s="163"/>
      <c r="E35" s="164"/>
      <c r="F35" s="164"/>
      <c r="G35" s="164"/>
      <c r="H35" s="164"/>
      <c r="I35" s="37"/>
      <c r="J35" s="37"/>
    </row>
    <row r="36" spans="1:10" ht="30" customHeight="1">
      <c r="A36" s="7" t="s">
        <v>4</v>
      </c>
      <c r="B36" s="165" t="s">
        <v>13</v>
      </c>
      <c r="C36" s="165"/>
      <c r="D36" s="165"/>
      <c r="E36" s="165"/>
      <c r="F36" s="165"/>
      <c r="G36" s="165"/>
      <c r="H36" s="165"/>
      <c r="I36" s="34"/>
      <c r="J36" s="37"/>
    </row>
    <row r="37" spans="1:10" ht="30" customHeight="1">
      <c r="A37" s="7" t="s">
        <v>5</v>
      </c>
      <c r="B37" s="165" t="s">
        <v>18</v>
      </c>
      <c r="C37" s="165"/>
      <c r="D37" s="165"/>
      <c r="E37" s="166"/>
      <c r="F37" s="166"/>
      <c r="G37" s="166"/>
      <c r="H37" s="166"/>
      <c r="I37" s="35"/>
      <c r="J37" s="35"/>
    </row>
    <row r="38" spans="1:10" ht="30" customHeight="1">
      <c r="A38" s="7" t="s">
        <v>6</v>
      </c>
      <c r="B38" s="165" t="s">
        <v>0</v>
      </c>
      <c r="C38" s="165"/>
      <c r="D38" s="165"/>
      <c r="E38" s="165"/>
      <c r="F38" s="165"/>
      <c r="G38" s="165"/>
      <c r="H38" s="165"/>
      <c r="I38" s="34"/>
      <c r="J38" s="35"/>
    </row>
    <row r="39" spans="1:10" ht="30" customHeight="1">
      <c r="A39" s="7" t="s">
        <v>7</v>
      </c>
      <c r="B39" s="165" t="s">
        <v>16</v>
      </c>
      <c r="C39" s="165"/>
      <c r="D39" s="165"/>
      <c r="E39" s="166"/>
      <c r="F39" s="166"/>
      <c r="G39" s="166"/>
      <c r="H39" s="166"/>
      <c r="I39" s="35"/>
      <c r="J39" s="4"/>
    </row>
    <row r="40" spans="1:10" ht="30" customHeight="1">
      <c r="A40" s="28" t="s">
        <v>19</v>
      </c>
      <c r="B40" s="149" t="s">
        <v>20</v>
      </c>
      <c r="C40" s="150"/>
      <c r="D40" s="150"/>
      <c r="E40" s="150"/>
      <c r="F40" s="150"/>
      <c r="G40" s="150"/>
      <c r="H40" s="150"/>
      <c r="I40" s="36"/>
      <c r="J40" s="6"/>
    </row>
    <row r="41" spans="1:10">
      <c r="A41" s="1"/>
      <c r="B41" s="1"/>
      <c r="C41" s="1"/>
      <c r="D41" s="1"/>
      <c r="E41" s="1"/>
      <c r="F41" s="1"/>
      <c r="G41" s="1"/>
      <c r="H41" s="1"/>
      <c r="I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</row>
  </sheetData>
  <mergeCells count="13">
    <mergeCell ref="B40:H40"/>
    <mergeCell ref="A1:I1"/>
    <mergeCell ref="A2:A3"/>
    <mergeCell ref="B2:C2"/>
    <mergeCell ref="D2:D3"/>
    <mergeCell ref="E2:F2"/>
    <mergeCell ref="G2:G3"/>
    <mergeCell ref="H2:I2"/>
    <mergeCell ref="B35:H35"/>
    <mergeCell ref="B36:H36"/>
    <mergeCell ref="B37:H37"/>
    <mergeCell ref="B38:H38"/>
    <mergeCell ref="B39:H39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F30" sqref="F30"/>
    </sheetView>
  </sheetViews>
  <sheetFormatPr defaultRowHeight="12.75"/>
  <cols>
    <col min="1" max="1" width="10.140625" customWidth="1"/>
    <col min="2" max="2" width="16.85546875" customWidth="1"/>
    <col min="3" max="3" width="16.5703125" customWidth="1"/>
    <col min="4" max="4" width="19.85546875" customWidth="1"/>
    <col min="5" max="6" width="17.140625" customWidth="1"/>
    <col min="7" max="7" width="19.85546875" customWidth="1"/>
    <col min="8" max="8" width="16.85546875" customWidth="1"/>
    <col min="9" max="9" width="17.140625" customWidth="1"/>
  </cols>
  <sheetData>
    <row r="1" spans="1:9" ht="56.45" customHeight="1" thickBot="1">
      <c r="A1" s="151" t="s">
        <v>31</v>
      </c>
      <c r="B1" s="151"/>
      <c r="C1" s="151"/>
      <c r="D1" s="151"/>
      <c r="E1" s="151"/>
      <c r="F1" s="151"/>
      <c r="G1" s="151"/>
      <c r="H1" s="151"/>
      <c r="I1" s="151"/>
    </row>
    <row r="2" spans="1:9">
      <c r="A2" s="152" t="s">
        <v>11</v>
      </c>
      <c r="B2" s="153" t="s">
        <v>2</v>
      </c>
      <c r="C2" s="154"/>
      <c r="D2" s="155" t="s">
        <v>12</v>
      </c>
      <c r="E2" s="157" t="s">
        <v>8</v>
      </c>
      <c r="F2" s="158"/>
      <c r="G2" s="159" t="s">
        <v>9</v>
      </c>
      <c r="H2" s="161" t="s">
        <v>10</v>
      </c>
      <c r="I2" s="162"/>
    </row>
    <row r="3" spans="1:9">
      <c r="A3" s="152"/>
      <c r="B3" s="5" t="s">
        <v>1</v>
      </c>
      <c r="C3" s="10" t="s">
        <v>29</v>
      </c>
      <c r="D3" s="156"/>
      <c r="E3" s="2" t="s">
        <v>1</v>
      </c>
      <c r="F3" s="11" t="s">
        <v>29</v>
      </c>
      <c r="G3" s="160"/>
      <c r="H3" s="12" t="s">
        <v>1</v>
      </c>
      <c r="I3" s="13" t="s">
        <v>29</v>
      </c>
    </row>
    <row r="4" spans="1:9">
      <c r="A4" s="8">
        <v>1</v>
      </c>
      <c r="B4" s="15">
        <f>673180531/1000</f>
        <v>673180.53099999996</v>
      </c>
      <c r="C4" s="16">
        <f t="shared" ref="C4:C9" si="0">(B4/3.6)*1000</f>
        <v>186994591.94444442</v>
      </c>
      <c r="D4" s="3" t="s">
        <v>14</v>
      </c>
      <c r="E4" s="15"/>
      <c r="F4" s="16"/>
      <c r="G4" s="3"/>
      <c r="H4" s="15">
        <v>2159191.3000000003</v>
      </c>
      <c r="I4" s="17">
        <f>(H4/3.6)*1000</f>
        <v>599775361.11111116</v>
      </c>
    </row>
    <row r="5" spans="1:9">
      <c r="A5" s="14">
        <f>A4+1</f>
        <v>2</v>
      </c>
      <c r="B5" s="15">
        <f>578193506/1000</f>
        <v>578193.50600000005</v>
      </c>
      <c r="C5" s="16">
        <f t="shared" si="0"/>
        <v>160609307.22222224</v>
      </c>
      <c r="D5" s="3" t="s">
        <v>14</v>
      </c>
      <c r="E5" s="15"/>
      <c r="F5" s="16"/>
      <c r="G5" s="3"/>
      <c r="H5" s="15">
        <v>1483234.5</v>
      </c>
      <c r="I5" s="17">
        <f t="shared" ref="I5:I9" si="1">(H5/3.6)*1000</f>
        <v>412009583.33333331</v>
      </c>
    </row>
    <row r="6" spans="1:9">
      <c r="A6" s="18">
        <f>A5+1</f>
        <v>3</v>
      </c>
      <c r="B6" s="15">
        <f>634090434/1000</f>
        <v>634090.43400000001</v>
      </c>
      <c r="C6" s="16">
        <f t="shared" si="0"/>
        <v>176136231.66666666</v>
      </c>
      <c r="D6" s="3" t="s">
        <v>14</v>
      </c>
      <c r="E6" s="15">
        <v>3462955.3420000002</v>
      </c>
      <c r="F6" s="16">
        <f>(E6/3.6)*1000</f>
        <v>961932039.44444442</v>
      </c>
      <c r="G6" s="3" t="s">
        <v>14</v>
      </c>
      <c r="H6" s="15">
        <v>895965.70000000007</v>
      </c>
      <c r="I6" s="17">
        <f t="shared" si="1"/>
        <v>248879361.11111113</v>
      </c>
    </row>
    <row r="7" spans="1:9">
      <c r="A7" s="18">
        <f t="shared" ref="A7:A34" si="2">A6+1</f>
        <v>4</v>
      </c>
      <c r="B7" s="15">
        <f>443863061/1000</f>
        <v>443863.06099999999</v>
      </c>
      <c r="C7" s="16">
        <f t="shared" si="0"/>
        <v>123295294.72222221</v>
      </c>
      <c r="D7" s="3" t="s">
        <v>14</v>
      </c>
      <c r="E7" s="15"/>
      <c r="F7" s="16"/>
      <c r="G7" s="3"/>
      <c r="H7" s="15">
        <v>1768776.3135295899</v>
      </c>
      <c r="I7" s="17">
        <f t="shared" si="1"/>
        <v>491326753.75821942</v>
      </c>
    </row>
    <row r="8" spans="1:9">
      <c r="A8" s="8">
        <f t="shared" si="2"/>
        <v>5</v>
      </c>
      <c r="B8" s="15">
        <f>776179113/1000</f>
        <v>776179.11300000001</v>
      </c>
      <c r="C8" s="16">
        <f t="shared" si="0"/>
        <v>215605309.16666669</v>
      </c>
      <c r="D8" s="3" t="s">
        <v>14</v>
      </c>
      <c r="E8" s="15"/>
      <c r="F8" s="16"/>
      <c r="G8" s="3"/>
      <c r="H8" s="15">
        <v>3290535.907856836</v>
      </c>
      <c r="I8" s="17">
        <f t="shared" si="1"/>
        <v>914037752.18245447</v>
      </c>
    </row>
    <row r="9" spans="1:9">
      <c r="A9" s="8">
        <f t="shared" si="2"/>
        <v>6</v>
      </c>
      <c r="B9" s="15">
        <f>733436873/1000</f>
        <v>733436.87300000002</v>
      </c>
      <c r="C9" s="16">
        <f t="shared" si="0"/>
        <v>203732464.72222221</v>
      </c>
      <c r="D9" s="3" t="s">
        <v>14</v>
      </c>
      <c r="E9" s="15"/>
      <c r="F9" s="16"/>
      <c r="G9" s="3"/>
      <c r="H9" s="15">
        <v>2502638.3614553711</v>
      </c>
      <c r="I9" s="17">
        <f t="shared" si="1"/>
        <v>695177322.62649202</v>
      </c>
    </row>
    <row r="10" spans="1:9">
      <c r="A10" s="8">
        <f t="shared" si="2"/>
        <v>7</v>
      </c>
      <c r="B10" s="15">
        <f>820371501/1000</f>
        <v>820371.50100000005</v>
      </c>
      <c r="C10" s="16">
        <f>(B10/3.6)*1000</f>
        <v>227880972.5</v>
      </c>
      <c r="D10" s="3" t="s">
        <v>14</v>
      </c>
      <c r="E10" s="15"/>
      <c r="F10" s="16"/>
      <c r="G10" s="3"/>
      <c r="H10" s="15">
        <v>1765231.3489297852</v>
      </c>
      <c r="I10" s="17">
        <f>(H10/3.6)*1000</f>
        <v>490342041.36938477</v>
      </c>
    </row>
    <row r="11" spans="1:9">
      <c r="A11" s="8">
        <f t="shared" si="2"/>
        <v>8</v>
      </c>
      <c r="B11" s="15">
        <f>725126629/1000</f>
        <v>725126.62899999996</v>
      </c>
      <c r="C11" s="16">
        <f>(B11/3.6)*1000</f>
        <v>201424063.61111107</v>
      </c>
      <c r="D11" s="3" t="s">
        <v>14</v>
      </c>
      <c r="E11" s="15">
        <v>3367148.415</v>
      </c>
      <c r="F11" s="16">
        <f>(E11/3.6)*1000</f>
        <v>935319004.16666663</v>
      </c>
      <c r="G11" s="3" t="s">
        <v>14</v>
      </c>
      <c r="H11" s="15">
        <v>934713.50207421882</v>
      </c>
      <c r="I11" s="17">
        <f>(H11/3.6)*1000</f>
        <v>259642639.46506077</v>
      </c>
    </row>
    <row r="12" spans="1:9">
      <c r="A12" s="14">
        <f t="shared" si="2"/>
        <v>9</v>
      </c>
      <c r="B12" s="15">
        <f>819370017/1000</f>
        <v>819370.01699999999</v>
      </c>
      <c r="C12" s="16">
        <f t="shared" ref="C12:C34" si="3">(B12/3.6)*1000</f>
        <v>227602782.5</v>
      </c>
      <c r="D12" s="3" t="s">
        <v>14</v>
      </c>
      <c r="E12" s="15"/>
      <c r="F12" s="16"/>
      <c r="G12" s="3"/>
      <c r="H12" s="15">
        <v>3073665.8000000003</v>
      </c>
      <c r="I12" s="17">
        <f t="shared" ref="I12:I34" si="4">(H12/3.6)*1000</f>
        <v>853796055.55555558</v>
      </c>
    </row>
    <row r="13" spans="1:9">
      <c r="A13" s="18">
        <f t="shared" si="2"/>
        <v>10</v>
      </c>
      <c r="B13" s="15">
        <f>633664449/1000</f>
        <v>633664.44900000002</v>
      </c>
      <c r="C13" s="16">
        <f t="shared" si="3"/>
        <v>176017902.5</v>
      </c>
      <c r="D13" s="3" t="s">
        <v>14</v>
      </c>
      <c r="E13" s="15"/>
      <c r="F13" s="16"/>
      <c r="G13" s="3"/>
      <c r="H13" s="15">
        <v>2755394.2895132811</v>
      </c>
      <c r="I13" s="17">
        <f t="shared" si="4"/>
        <v>765387302.64257801</v>
      </c>
    </row>
    <row r="14" spans="1:9">
      <c r="A14" s="18">
        <f t="shared" si="2"/>
        <v>11</v>
      </c>
      <c r="B14" s="15">
        <f>633321154/1000</f>
        <v>633321.15399999998</v>
      </c>
      <c r="C14" s="16">
        <f t="shared" si="3"/>
        <v>175922542.77777776</v>
      </c>
      <c r="D14" s="3" t="s">
        <v>14</v>
      </c>
      <c r="E14" s="15">
        <f>3451367951/1000</f>
        <v>3451367.9509999999</v>
      </c>
      <c r="F14" s="16">
        <f>(E14/3.6)*1000</f>
        <v>958713319.72222221</v>
      </c>
      <c r="G14" s="3" t="s">
        <v>14</v>
      </c>
      <c r="H14" s="15">
        <v>2122753.6885524415</v>
      </c>
      <c r="I14" s="17">
        <f t="shared" si="4"/>
        <v>589653802.37567818</v>
      </c>
    </row>
    <row r="15" spans="1:9">
      <c r="A15" s="8">
        <f t="shared" si="2"/>
        <v>12</v>
      </c>
      <c r="B15" s="15">
        <f>831459790/1000</f>
        <v>831459.79</v>
      </c>
      <c r="C15" s="16">
        <f t="shared" si="3"/>
        <v>230961052.77777776</v>
      </c>
      <c r="D15" s="3" t="s">
        <v>14</v>
      </c>
      <c r="E15" s="15"/>
      <c r="F15" s="16"/>
      <c r="G15" s="3"/>
      <c r="H15" s="15">
        <v>3018883.4428773439</v>
      </c>
      <c r="I15" s="17">
        <f t="shared" si="4"/>
        <v>838578734.13259542</v>
      </c>
    </row>
    <row r="16" spans="1:9">
      <c r="A16" s="8">
        <f t="shared" si="2"/>
        <v>13</v>
      </c>
      <c r="B16" s="15">
        <f>720194489/1000</f>
        <v>720194.48899999994</v>
      </c>
      <c r="C16" s="16">
        <f t="shared" si="3"/>
        <v>200054024.72222221</v>
      </c>
      <c r="D16" s="3" t="s">
        <v>14</v>
      </c>
      <c r="E16" s="15"/>
      <c r="F16" s="16"/>
      <c r="G16" s="3"/>
      <c r="H16" s="15">
        <v>4112360.4590320317</v>
      </c>
      <c r="I16" s="17">
        <f t="shared" si="4"/>
        <v>1142322349.7311199</v>
      </c>
    </row>
    <row r="17" spans="1:9">
      <c r="A17" s="8">
        <f t="shared" si="2"/>
        <v>14</v>
      </c>
      <c r="B17" s="15">
        <f>800326917/1000</f>
        <v>800326.91700000002</v>
      </c>
      <c r="C17" s="16">
        <f t="shared" si="3"/>
        <v>222313032.5</v>
      </c>
      <c r="D17" s="3" t="s">
        <v>14</v>
      </c>
      <c r="E17" s="15"/>
      <c r="F17" s="16"/>
      <c r="G17" s="3"/>
      <c r="H17" s="15">
        <v>3380799.919307813</v>
      </c>
      <c r="I17" s="17">
        <f t="shared" si="4"/>
        <v>939111088.69661474</v>
      </c>
    </row>
    <row r="18" spans="1:9">
      <c r="A18" s="14">
        <f t="shared" si="2"/>
        <v>15</v>
      </c>
      <c r="B18" s="15">
        <f>831708350/1000</f>
        <v>831708.35</v>
      </c>
      <c r="C18" s="16">
        <f t="shared" si="3"/>
        <v>231030097.22222221</v>
      </c>
      <c r="D18" s="3" t="s">
        <v>14</v>
      </c>
      <c r="E18" s="15">
        <v>3336271.804</v>
      </c>
      <c r="F18" s="16">
        <f>(E18/3.6)*1000</f>
        <v>926742167.77777779</v>
      </c>
      <c r="G18" s="3" t="s">
        <v>14</v>
      </c>
      <c r="H18" s="15">
        <v>2570516.9239369147</v>
      </c>
      <c r="I18" s="17">
        <f t="shared" si="4"/>
        <v>714032478.87136519</v>
      </c>
    </row>
    <row r="19" spans="1:9">
      <c r="A19" s="8">
        <f t="shared" si="2"/>
        <v>16</v>
      </c>
      <c r="B19" s="15">
        <f>831575247/1000</f>
        <v>831575.24699999997</v>
      </c>
      <c r="C19" s="16">
        <f t="shared" si="3"/>
        <v>230993124.16666666</v>
      </c>
      <c r="D19" s="3" t="s">
        <v>14</v>
      </c>
      <c r="E19" s="15"/>
      <c r="F19" s="16"/>
      <c r="G19" s="3"/>
      <c r="H19" s="15">
        <v>3548329.0200546877</v>
      </c>
      <c r="I19" s="17">
        <f t="shared" si="4"/>
        <v>985646950.01519096</v>
      </c>
    </row>
    <row r="20" spans="1:9">
      <c r="A20" s="18">
        <f t="shared" si="2"/>
        <v>17</v>
      </c>
      <c r="B20" s="15">
        <f>633748788/1000</f>
        <v>633748.78799999994</v>
      </c>
      <c r="C20" s="16">
        <f t="shared" si="3"/>
        <v>176041330</v>
      </c>
      <c r="D20" s="3" t="s">
        <v>14</v>
      </c>
      <c r="E20" s="15"/>
      <c r="F20" s="16"/>
      <c r="G20" s="3"/>
      <c r="H20" s="15">
        <v>4242058.878026953</v>
      </c>
      <c r="I20" s="17">
        <f t="shared" si="4"/>
        <v>1178349688.3408201</v>
      </c>
    </row>
    <row r="21" spans="1:9">
      <c r="A21" s="18">
        <f t="shared" si="2"/>
        <v>18</v>
      </c>
      <c r="B21" s="15">
        <f>633841717/1000</f>
        <v>633841.71699999995</v>
      </c>
      <c r="C21" s="16">
        <f t="shared" si="3"/>
        <v>176067143.6111111</v>
      </c>
      <c r="D21" s="3" t="s">
        <v>14</v>
      </c>
      <c r="E21" s="15"/>
      <c r="F21" s="16"/>
      <c r="G21" s="3"/>
      <c r="H21" s="15">
        <v>3607480.8000000003</v>
      </c>
      <c r="I21" s="17">
        <f t="shared" si="4"/>
        <v>1002078000</v>
      </c>
    </row>
    <row r="22" spans="1:9">
      <c r="A22" s="8">
        <f t="shared" si="2"/>
        <v>19</v>
      </c>
      <c r="B22" s="15">
        <f>594380388/1000</f>
        <v>594380.38800000004</v>
      </c>
      <c r="C22" s="16">
        <f t="shared" si="3"/>
        <v>165105663.33333334</v>
      </c>
      <c r="D22" s="3" t="s">
        <v>14</v>
      </c>
      <c r="E22" s="15">
        <v>3341705.216</v>
      </c>
      <c r="F22" s="16">
        <f>(E22/3.6)*1000</f>
        <v>928251448.88888884</v>
      </c>
      <c r="G22" s="3" t="s">
        <v>14</v>
      </c>
      <c r="H22" s="15">
        <v>2966926.9000000004</v>
      </c>
      <c r="I22" s="17">
        <f t="shared" si="4"/>
        <v>824146361.11111128</v>
      </c>
    </row>
    <row r="23" spans="1:9">
      <c r="A23" s="8">
        <f t="shared" si="2"/>
        <v>20</v>
      </c>
      <c r="B23" s="15">
        <f>514696300/1000</f>
        <v>514696.3</v>
      </c>
      <c r="C23" s="16">
        <f t="shared" si="3"/>
        <v>142971194.44444445</v>
      </c>
      <c r="D23" s="3" t="s">
        <v>14</v>
      </c>
      <c r="E23" s="15"/>
      <c r="F23" s="16"/>
      <c r="G23" s="3"/>
      <c r="H23" s="15">
        <v>3863205.9000000004</v>
      </c>
      <c r="I23" s="17">
        <f t="shared" si="4"/>
        <v>1073112750</v>
      </c>
    </row>
    <row r="24" spans="1:9">
      <c r="A24" s="8">
        <f t="shared" si="2"/>
        <v>21</v>
      </c>
      <c r="B24" s="15">
        <f>514592807/1000</f>
        <v>514592.80699999997</v>
      </c>
      <c r="C24" s="16">
        <f t="shared" si="3"/>
        <v>142942446.38888887</v>
      </c>
      <c r="D24" s="3" t="s">
        <v>14</v>
      </c>
      <c r="E24" s="15"/>
      <c r="F24" s="16"/>
      <c r="G24" s="3"/>
      <c r="H24" s="15">
        <v>5212658.4000451174</v>
      </c>
      <c r="I24" s="17">
        <f t="shared" si="4"/>
        <v>1447960666.6791992</v>
      </c>
    </row>
    <row r="25" spans="1:9">
      <c r="A25" s="14">
        <f t="shared" si="2"/>
        <v>22</v>
      </c>
      <c r="B25" s="15">
        <f>442125996/1000</f>
        <v>442125.99599999998</v>
      </c>
      <c r="C25" s="16">
        <f t="shared" si="3"/>
        <v>122812776.66666666</v>
      </c>
      <c r="D25" s="3" t="s">
        <v>14</v>
      </c>
      <c r="E25" s="15"/>
      <c r="F25" s="16"/>
      <c r="G25" s="3"/>
      <c r="H25" s="15">
        <v>4690679.4000000004</v>
      </c>
      <c r="I25" s="17">
        <f t="shared" si="4"/>
        <v>1302966500</v>
      </c>
    </row>
    <row r="26" spans="1:9">
      <c r="A26" s="8">
        <f t="shared" si="2"/>
        <v>23</v>
      </c>
      <c r="B26" s="15">
        <f>653613546/1000</f>
        <v>653613.54599999997</v>
      </c>
      <c r="C26" s="16">
        <f t="shared" si="3"/>
        <v>181559318.33333334</v>
      </c>
      <c r="D26" s="3" t="s">
        <v>14</v>
      </c>
      <c r="E26" s="15"/>
      <c r="F26" s="16"/>
      <c r="G26" s="3"/>
      <c r="H26" s="15">
        <v>4246227.2</v>
      </c>
      <c r="I26" s="17">
        <f t="shared" si="4"/>
        <v>1179507555.5555556</v>
      </c>
    </row>
    <row r="27" spans="1:9">
      <c r="A27" s="18">
        <f t="shared" si="2"/>
        <v>24</v>
      </c>
      <c r="B27" s="15">
        <f>237430200/1000</f>
        <v>237430.2</v>
      </c>
      <c r="C27" s="16">
        <f t="shared" si="3"/>
        <v>65952833.333333328</v>
      </c>
      <c r="D27" s="3" t="s">
        <v>14</v>
      </c>
      <c r="E27" s="15"/>
      <c r="F27" s="16"/>
      <c r="G27" s="3"/>
      <c r="H27" s="15">
        <v>3578970.5</v>
      </c>
      <c r="I27" s="17">
        <f t="shared" si="4"/>
        <v>994158472.22222221</v>
      </c>
    </row>
    <row r="28" spans="1:9">
      <c r="A28" s="18">
        <f t="shared" si="2"/>
        <v>25</v>
      </c>
      <c r="B28" s="15">
        <f>237292807/1000</f>
        <v>237292.807</v>
      </c>
      <c r="C28" s="16">
        <f t="shared" si="3"/>
        <v>65914668.611111104</v>
      </c>
      <c r="D28" s="3" t="s">
        <v>14</v>
      </c>
      <c r="E28" s="15"/>
      <c r="F28" s="16"/>
      <c r="G28" s="3"/>
      <c r="H28" s="15">
        <v>3335319.5</v>
      </c>
      <c r="I28" s="17">
        <f t="shared" si="4"/>
        <v>926477638.88888884</v>
      </c>
    </row>
    <row r="29" spans="1:9">
      <c r="A29" s="8">
        <f t="shared" si="2"/>
        <v>26</v>
      </c>
      <c r="B29" s="15">
        <f>613706325/1000</f>
        <v>613706.32499999995</v>
      </c>
      <c r="C29" s="16">
        <f t="shared" si="3"/>
        <v>170473979.16666666</v>
      </c>
      <c r="D29" s="3" t="s">
        <v>14</v>
      </c>
      <c r="E29" s="27"/>
      <c r="F29" s="16"/>
      <c r="G29" s="3"/>
      <c r="H29" s="15">
        <v>3103525.7</v>
      </c>
      <c r="I29" s="17">
        <f t="shared" si="4"/>
        <v>862090472.22222221</v>
      </c>
    </row>
    <row r="30" spans="1:9">
      <c r="A30" s="8">
        <f t="shared" si="2"/>
        <v>27</v>
      </c>
      <c r="B30" s="15">
        <f>813083033/1000</f>
        <v>813083.03300000005</v>
      </c>
      <c r="C30" s="16">
        <f t="shared" si="3"/>
        <v>225856398.05555555</v>
      </c>
      <c r="D30" s="3" t="s">
        <v>14</v>
      </c>
      <c r="E30" s="15">
        <v>3324407.8149999999</v>
      </c>
      <c r="F30" s="16">
        <f>(E30/3.6)*1000</f>
        <v>923446615.27777779</v>
      </c>
      <c r="G30" s="3" t="s">
        <v>14</v>
      </c>
      <c r="H30" s="15">
        <v>2475009.7232405278</v>
      </c>
      <c r="I30" s="17">
        <f t="shared" si="4"/>
        <v>687502700.9001466</v>
      </c>
    </row>
    <row r="31" spans="1:9">
      <c r="A31" s="8">
        <f t="shared" si="2"/>
        <v>28</v>
      </c>
      <c r="B31" s="15">
        <f>832490255/1000</f>
        <v>832490.255</v>
      </c>
      <c r="C31" s="16">
        <f t="shared" si="3"/>
        <v>231247293.05555555</v>
      </c>
      <c r="D31" s="3" t="s">
        <v>14</v>
      </c>
      <c r="E31" s="15"/>
      <c r="F31" s="16"/>
      <c r="G31" s="3"/>
      <c r="H31" s="15">
        <v>2297595.4914618162</v>
      </c>
      <c r="I31" s="17">
        <f t="shared" si="4"/>
        <v>638220969.85050452</v>
      </c>
    </row>
    <row r="32" spans="1:9">
      <c r="A32" s="14">
        <f t="shared" si="2"/>
        <v>29</v>
      </c>
      <c r="B32" s="15">
        <f>594487685/1000</f>
        <v>594487.68500000006</v>
      </c>
      <c r="C32" s="16">
        <f t="shared" si="3"/>
        <v>165135468.05555558</v>
      </c>
      <c r="D32" s="3" t="s">
        <v>14</v>
      </c>
      <c r="E32" s="15"/>
      <c r="F32" s="16"/>
      <c r="G32" s="3"/>
      <c r="H32" s="15">
        <v>4149875.4000000004</v>
      </c>
      <c r="I32" s="17">
        <f t="shared" si="4"/>
        <v>1152743166.6666667</v>
      </c>
    </row>
    <row r="33" spans="1:10">
      <c r="A33" s="8">
        <f t="shared" si="2"/>
        <v>30</v>
      </c>
      <c r="B33" s="15">
        <f>812384024/1000</f>
        <v>812384.02399999998</v>
      </c>
      <c r="C33" s="16">
        <f t="shared" si="3"/>
        <v>225662228.88888887</v>
      </c>
      <c r="D33" s="3" t="s">
        <v>14</v>
      </c>
      <c r="E33" s="15"/>
      <c r="F33" s="16"/>
      <c r="G33" s="3"/>
      <c r="H33" s="15">
        <v>3551610.0106705078</v>
      </c>
      <c r="I33" s="17">
        <f t="shared" si="4"/>
        <v>986558336.29736328</v>
      </c>
    </row>
    <row r="34" spans="1:10">
      <c r="A34" s="18">
        <f t="shared" si="2"/>
        <v>31</v>
      </c>
      <c r="B34" s="15">
        <f>475709456/1000</f>
        <v>475709.45600000001</v>
      </c>
      <c r="C34" s="16">
        <f t="shared" si="3"/>
        <v>132141515.55555555</v>
      </c>
      <c r="D34" s="3" t="s">
        <v>14</v>
      </c>
      <c r="E34" s="15"/>
      <c r="F34" s="16"/>
      <c r="G34" s="3"/>
      <c r="H34" s="15">
        <v>2727686.2</v>
      </c>
      <c r="I34" s="17">
        <f t="shared" si="4"/>
        <v>757690611.11111116</v>
      </c>
    </row>
    <row r="35" spans="1:10">
      <c r="A35" s="51"/>
      <c r="B35" s="25"/>
      <c r="C35" s="25"/>
      <c r="D35" s="26"/>
      <c r="E35" s="25"/>
      <c r="F35" s="25"/>
      <c r="G35" s="26"/>
      <c r="H35" s="25"/>
      <c r="I35" s="25"/>
    </row>
    <row r="36" spans="1:10" ht="21.6" customHeight="1">
      <c r="A36" s="7" t="s">
        <v>3</v>
      </c>
      <c r="B36" s="163" t="s">
        <v>17</v>
      </c>
      <c r="C36" s="163"/>
      <c r="D36" s="163"/>
      <c r="E36" s="164"/>
      <c r="F36" s="164"/>
      <c r="G36" s="164"/>
      <c r="H36" s="164"/>
      <c r="I36" s="77"/>
      <c r="J36" s="77"/>
    </row>
    <row r="37" spans="1:10" ht="21.6" customHeight="1">
      <c r="A37" s="7" t="s">
        <v>4</v>
      </c>
      <c r="B37" s="165" t="s">
        <v>13</v>
      </c>
      <c r="C37" s="165"/>
      <c r="D37" s="165"/>
      <c r="E37" s="165"/>
      <c r="F37" s="165"/>
      <c r="G37" s="165"/>
      <c r="H37" s="165"/>
      <c r="I37" s="74"/>
      <c r="J37" s="77"/>
    </row>
    <row r="38" spans="1:10" ht="21.6" customHeight="1">
      <c r="A38" s="7" t="s">
        <v>5</v>
      </c>
      <c r="B38" s="165" t="s">
        <v>18</v>
      </c>
      <c r="C38" s="165"/>
      <c r="D38" s="165"/>
      <c r="E38" s="166"/>
      <c r="F38" s="166"/>
      <c r="G38" s="166"/>
      <c r="H38" s="166"/>
      <c r="I38" s="75"/>
      <c r="J38" s="75"/>
    </row>
    <row r="39" spans="1:10" ht="21.6" customHeight="1">
      <c r="A39" s="7" t="s">
        <v>6</v>
      </c>
      <c r="B39" s="165" t="s">
        <v>0</v>
      </c>
      <c r="C39" s="165"/>
      <c r="D39" s="165"/>
      <c r="E39" s="165"/>
      <c r="F39" s="165"/>
      <c r="G39" s="165"/>
      <c r="H39" s="165"/>
      <c r="I39" s="74"/>
      <c r="J39" s="75"/>
    </row>
    <row r="40" spans="1:10" ht="21.6" customHeight="1">
      <c r="A40" s="7" t="s">
        <v>7</v>
      </c>
      <c r="B40" s="165" t="s">
        <v>16</v>
      </c>
      <c r="C40" s="165"/>
      <c r="D40" s="165"/>
      <c r="E40" s="166"/>
      <c r="F40" s="166"/>
      <c r="G40" s="166"/>
      <c r="H40" s="166"/>
      <c r="I40" s="75"/>
      <c r="J40" s="4"/>
    </row>
    <row r="41" spans="1:10" ht="21.6" customHeight="1">
      <c r="A41" s="28" t="s">
        <v>19</v>
      </c>
      <c r="B41" s="149" t="s">
        <v>20</v>
      </c>
      <c r="C41" s="150"/>
      <c r="D41" s="150"/>
      <c r="E41" s="150"/>
      <c r="F41" s="150"/>
      <c r="G41" s="150"/>
      <c r="H41" s="150"/>
      <c r="I41" s="76"/>
      <c r="J41" s="6"/>
    </row>
    <row r="42" spans="1:10" ht="21.6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10" ht="21.6" customHeight="1">
      <c r="A43" s="1"/>
      <c r="B43" s="1"/>
      <c r="C43" s="1"/>
      <c r="D43" s="1"/>
      <c r="E43" s="1"/>
      <c r="F43" s="1"/>
      <c r="G43" s="1"/>
      <c r="H43" s="1"/>
      <c r="I43" s="1"/>
    </row>
    <row r="44" spans="1:10" ht="21.6" customHeight="1">
      <c r="A44" s="1"/>
      <c r="B44" s="1"/>
      <c r="C44" s="1"/>
      <c r="D44" s="1"/>
      <c r="E44" s="1"/>
      <c r="F44" s="1"/>
      <c r="G44" s="1"/>
      <c r="H44" s="1"/>
      <c r="I44" s="1"/>
    </row>
  </sheetData>
  <mergeCells count="13">
    <mergeCell ref="B41:H41"/>
    <mergeCell ref="A1:I1"/>
    <mergeCell ref="A2:A3"/>
    <mergeCell ref="B2:C2"/>
    <mergeCell ref="D2:D3"/>
    <mergeCell ref="E2:F2"/>
    <mergeCell ref="G2:G3"/>
    <mergeCell ref="H2:I2"/>
    <mergeCell ref="B36:H36"/>
    <mergeCell ref="B37:H37"/>
    <mergeCell ref="B38:H38"/>
    <mergeCell ref="B39:H39"/>
    <mergeCell ref="B40:H4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D20" sqref="D20"/>
    </sheetView>
  </sheetViews>
  <sheetFormatPr defaultRowHeight="12.75"/>
  <cols>
    <col min="1" max="1" width="10.140625" customWidth="1"/>
    <col min="2" max="2" width="16.85546875" customWidth="1"/>
    <col min="3" max="3" width="16.5703125" customWidth="1"/>
    <col min="4" max="4" width="19.85546875" customWidth="1"/>
    <col min="5" max="6" width="17.140625" customWidth="1"/>
    <col min="7" max="7" width="19.85546875" customWidth="1"/>
    <col min="8" max="8" width="16.85546875" customWidth="1"/>
    <col min="9" max="9" width="17.140625" customWidth="1"/>
  </cols>
  <sheetData>
    <row r="1" spans="1:9" ht="51" customHeight="1" thickBot="1">
      <c r="A1" s="151" t="s">
        <v>32</v>
      </c>
      <c r="B1" s="151"/>
      <c r="C1" s="151"/>
      <c r="D1" s="151"/>
      <c r="E1" s="151"/>
      <c r="F1" s="151"/>
      <c r="G1" s="151"/>
      <c r="H1" s="151"/>
      <c r="I1" s="151"/>
    </row>
    <row r="2" spans="1:9">
      <c r="A2" s="152" t="s">
        <v>11</v>
      </c>
      <c r="B2" s="153" t="s">
        <v>2</v>
      </c>
      <c r="C2" s="154"/>
      <c r="D2" s="155" t="s">
        <v>12</v>
      </c>
      <c r="E2" s="157" t="s">
        <v>8</v>
      </c>
      <c r="F2" s="158"/>
      <c r="G2" s="159" t="s">
        <v>9</v>
      </c>
      <c r="H2" s="161" t="s">
        <v>10</v>
      </c>
      <c r="I2" s="162"/>
    </row>
    <row r="3" spans="1:9">
      <c r="A3" s="152"/>
      <c r="B3" s="5" t="s">
        <v>1</v>
      </c>
      <c r="C3" s="10" t="s">
        <v>29</v>
      </c>
      <c r="D3" s="156"/>
      <c r="E3" s="2" t="s">
        <v>1</v>
      </c>
      <c r="F3" s="11" t="s">
        <v>29</v>
      </c>
      <c r="G3" s="160"/>
      <c r="H3" s="12" t="s">
        <v>1</v>
      </c>
      <c r="I3" s="13" t="s">
        <v>29</v>
      </c>
    </row>
    <row r="4" spans="1:9">
      <c r="A4" s="18">
        <v>1</v>
      </c>
      <c r="B4" s="15">
        <v>237986.54300000001</v>
      </c>
      <c r="C4" s="16">
        <f>(B4/3.6)*1000</f>
        <v>66107373.055555552</v>
      </c>
      <c r="D4" s="3" t="s">
        <v>14</v>
      </c>
      <c r="E4" s="15"/>
      <c r="F4" s="16"/>
      <c r="G4" s="3"/>
      <c r="H4" s="15">
        <v>2254169.4</v>
      </c>
      <c r="I4" s="17">
        <f>(H4/3.6)*1000</f>
        <v>626158166.66666663</v>
      </c>
    </row>
    <row r="5" spans="1:9">
      <c r="A5" s="14">
        <f>A4+1</f>
        <v>2</v>
      </c>
      <c r="B5" s="15">
        <v>356540.69099999999</v>
      </c>
      <c r="C5" s="16">
        <f>(B5/3.6)*1000</f>
        <v>99039080.833333328</v>
      </c>
      <c r="D5" s="3" t="s">
        <v>14</v>
      </c>
      <c r="E5" s="15"/>
      <c r="F5" s="16"/>
      <c r="G5" s="3"/>
      <c r="H5" s="15">
        <v>2014567.2000000002</v>
      </c>
      <c r="I5" s="17">
        <f>(H5/3.6)*1000</f>
        <v>559602000</v>
      </c>
    </row>
    <row r="6" spans="1:9">
      <c r="A6" s="8">
        <f>A5+1</f>
        <v>3</v>
      </c>
      <c r="B6" s="15">
        <v>376836.495</v>
      </c>
      <c r="C6" s="16">
        <f>(B6/3.6)*1000</f>
        <v>104676804.16666667</v>
      </c>
      <c r="D6" s="3" t="s">
        <v>14</v>
      </c>
      <c r="E6" s="15"/>
      <c r="F6" s="16"/>
      <c r="G6" s="3"/>
      <c r="H6" s="15">
        <v>1651219.5000938477</v>
      </c>
      <c r="I6" s="17">
        <f>(H6/3.6)*1000</f>
        <v>458672083.35940212</v>
      </c>
    </row>
    <row r="7" spans="1:9">
      <c r="A7" s="8">
        <f t="shared" ref="A7:A33" si="0">A6+1</f>
        <v>4</v>
      </c>
      <c r="B7" s="15">
        <v>376762.603</v>
      </c>
      <c r="C7" s="16">
        <f>(B7/3.6)*1000</f>
        <v>104656278.6111111</v>
      </c>
      <c r="D7" s="3" t="s">
        <v>14</v>
      </c>
      <c r="E7" s="15">
        <v>3463614.1970000002</v>
      </c>
      <c r="F7" s="16">
        <f>(E7/3.6)*1000</f>
        <v>962115054.72222221</v>
      </c>
      <c r="G7" s="3" t="s">
        <v>14</v>
      </c>
      <c r="H7" s="15">
        <v>1266888.7100250977</v>
      </c>
      <c r="I7" s="17">
        <f>(H7/3.6)*1000</f>
        <v>351913530.56252712</v>
      </c>
    </row>
    <row r="8" spans="1:9">
      <c r="A8" s="8">
        <f t="shared" si="0"/>
        <v>5</v>
      </c>
      <c r="B8" s="15">
        <v>395815.06699999998</v>
      </c>
      <c r="C8" s="16">
        <f>(B8/3.6)*1000</f>
        <v>109948629.72222222</v>
      </c>
      <c r="D8" s="3" t="s">
        <v>14</v>
      </c>
      <c r="E8" s="15"/>
      <c r="F8" s="16"/>
      <c r="G8" s="3"/>
      <c r="H8" s="15">
        <v>2378784.6187056643</v>
      </c>
      <c r="I8" s="17">
        <f>(H8/3.6)*1000</f>
        <v>660773505.19601774</v>
      </c>
    </row>
    <row r="9" spans="1:9">
      <c r="A9" s="8">
        <f t="shared" si="0"/>
        <v>6</v>
      </c>
      <c r="B9" s="15">
        <v>376053.63500000001</v>
      </c>
      <c r="C9" s="16">
        <f t="shared" ref="C9:C19" si="1">(B9/3.6)*1000</f>
        <v>104459343.05555555</v>
      </c>
      <c r="D9" s="3" t="s">
        <v>14</v>
      </c>
      <c r="E9" s="15"/>
      <c r="F9" s="16"/>
      <c r="G9" s="3"/>
      <c r="H9" s="15">
        <v>3964859.7</v>
      </c>
      <c r="I9" s="17">
        <f t="shared" ref="I9:I33" si="2">(H9/3.6)*1000</f>
        <v>1101349916.6666667</v>
      </c>
    </row>
    <row r="10" spans="1:9">
      <c r="A10" s="18">
        <f t="shared" si="0"/>
        <v>7</v>
      </c>
      <c r="B10" s="15">
        <v>237340.96900000001</v>
      </c>
      <c r="C10" s="16">
        <f t="shared" si="1"/>
        <v>65928046.944444448</v>
      </c>
      <c r="D10" s="3" t="s">
        <v>14</v>
      </c>
      <c r="E10" s="15"/>
      <c r="F10" s="16"/>
      <c r="G10" s="3"/>
      <c r="H10" s="15">
        <v>3587238.1145796878</v>
      </c>
      <c r="I10" s="17">
        <f t="shared" si="2"/>
        <v>996455031.82769096</v>
      </c>
    </row>
    <row r="11" spans="1:9">
      <c r="A11" s="18">
        <f t="shared" si="0"/>
        <v>8</v>
      </c>
      <c r="B11" s="15">
        <v>237123.329</v>
      </c>
      <c r="C11" s="16">
        <f t="shared" si="1"/>
        <v>65867591.388888888</v>
      </c>
      <c r="D11" s="3" t="s">
        <v>14</v>
      </c>
      <c r="E11" s="15"/>
      <c r="F11" s="16"/>
      <c r="G11" s="3"/>
      <c r="H11" s="15">
        <v>3346718.8000000003</v>
      </c>
      <c r="I11" s="17">
        <f t="shared" si="2"/>
        <v>929644111.11111116</v>
      </c>
    </row>
    <row r="12" spans="1:9">
      <c r="A12" s="14">
        <f t="shared" si="0"/>
        <v>9</v>
      </c>
      <c r="B12" s="15">
        <v>633614.88899999997</v>
      </c>
      <c r="C12" s="16">
        <f t="shared" si="1"/>
        <v>176004135.83333334</v>
      </c>
      <c r="D12" s="3" t="s">
        <v>14</v>
      </c>
      <c r="E12" s="15"/>
      <c r="F12" s="16"/>
      <c r="G12" s="3"/>
      <c r="H12" s="15">
        <v>3102802.7</v>
      </c>
      <c r="I12" s="17">
        <f t="shared" si="2"/>
        <v>861889638.88888884</v>
      </c>
    </row>
    <row r="13" spans="1:9">
      <c r="A13" s="8">
        <f t="shared" si="0"/>
        <v>10</v>
      </c>
      <c r="B13" s="15">
        <v>634654.33799999999</v>
      </c>
      <c r="C13" s="16">
        <f t="shared" si="1"/>
        <v>176292871.66666669</v>
      </c>
      <c r="D13" s="3" t="s">
        <v>14</v>
      </c>
      <c r="E13" s="15"/>
      <c r="F13" s="16"/>
      <c r="G13" s="3"/>
      <c r="H13" s="15">
        <v>2457005.3561041998</v>
      </c>
      <c r="I13" s="17">
        <f t="shared" si="2"/>
        <v>682501487.80672216</v>
      </c>
    </row>
    <row r="14" spans="1:9">
      <c r="A14" s="8">
        <f t="shared" si="0"/>
        <v>11</v>
      </c>
      <c r="B14" s="15">
        <v>634829.16599999997</v>
      </c>
      <c r="C14" s="16">
        <f t="shared" si="1"/>
        <v>176341435</v>
      </c>
      <c r="D14" s="3" t="s">
        <v>14</v>
      </c>
      <c r="E14" s="15"/>
      <c r="F14" s="16"/>
      <c r="G14" s="3"/>
      <c r="H14" s="15">
        <v>1814756.5332998049</v>
      </c>
      <c r="I14" s="17">
        <f t="shared" si="2"/>
        <v>504099037.02772355</v>
      </c>
    </row>
    <row r="15" spans="1:9">
      <c r="A15" s="8">
        <f t="shared" si="0"/>
        <v>12</v>
      </c>
      <c r="B15" s="15">
        <v>515533.57199999999</v>
      </c>
      <c r="C15" s="16">
        <f t="shared" si="1"/>
        <v>143203770</v>
      </c>
      <c r="D15" s="3" t="s">
        <v>14</v>
      </c>
      <c r="E15" s="15"/>
      <c r="F15" s="16"/>
      <c r="G15" s="3"/>
      <c r="H15" s="15">
        <v>1173645.8887031251</v>
      </c>
      <c r="I15" s="17">
        <f t="shared" si="2"/>
        <v>326012746.86197919</v>
      </c>
    </row>
    <row r="16" spans="1:9">
      <c r="A16" s="8">
        <f t="shared" si="0"/>
        <v>13</v>
      </c>
      <c r="B16" s="15">
        <v>515407.17800000001</v>
      </c>
      <c r="C16" s="16">
        <f t="shared" si="1"/>
        <v>143168660.55555555</v>
      </c>
      <c r="D16" s="3" t="s">
        <v>14</v>
      </c>
      <c r="E16" s="15">
        <v>3469824.06</v>
      </c>
      <c r="F16" s="16">
        <f>(E16/3.6)*1000</f>
        <v>963840016.66666663</v>
      </c>
      <c r="G16" s="3" t="s">
        <v>14</v>
      </c>
      <c r="H16" s="15">
        <v>652073.70000000007</v>
      </c>
      <c r="I16" s="17">
        <f t="shared" si="2"/>
        <v>181131583.33333334</v>
      </c>
    </row>
    <row r="17" spans="1:9">
      <c r="A17" s="18">
        <f t="shared" si="0"/>
        <v>14</v>
      </c>
      <c r="B17" s="15">
        <v>355941.41399999999</v>
      </c>
      <c r="C17" s="16">
        <f t="shared" si="1"/>
        <v>98872614.999999985</v>
      </c>
      <c r="D17" s="3" t="s">
        <v>14</v>
      </c>
      <c r="E17" s="15"/>
      <c r="F17" s="16"/>
      <c r="G17" s="3"/>
      <c r="H17" s="15">
        <v>1777953.4000000001</v>
      </c>
      <c r="I17" s="17">
        <f t="shared" si="2"/>
        <v>493875944.44444448</v>
      </c>
    </row>
    <row r="18" spans="1:9">
      <c r="A18" s="18">
        <f t="shared" si="0"/>
        <v>15</v>
      </c>
      <c r="B18" s="15">
        <v>356100.14799999999</v>
      </c>
      <c r="C18" s="16">
        <f t="shared" si="1"/>
        <v>98916707.777777776</v>
      </c>
      <c r="D18" s="3" t="s">
        <v>14</v>
      </c>
      <c r="E18" s="15"/>
      <c r="F18" s="16"/>
      <c r="G18" s="3"/>
      <c r="H18" s="15">
        <v>3260440.8000000003</v>
      </c>
      <c r="I18" s="17">
        <f t="shared" si="2"/>
        <v>905678000</v>
      </c>
    </row>
    <row r="19" spans="1:9">
      <c r="A19" s="8">
        <f t="shared" si="0"/>
        <v>16</v>
      </c>
      <c r="B19" s="15">
        <v>633851.60499999998</v>
      </c>
      <c r="C19" s="16">
        <f t="shared" si="1"/>
        <v>176069890.27777776</v>
      </c>
      <c r="D19" s="3" t="s">
        <v>14</v>
      </c>
      <c r="E19" s="15">
        <v>3476131.0350000001</v>
      </c>
      <c r="F19" s="16">
        <f>(E19/3.6)*1000</f>
        <v>965591954.16666675</v>
      </c>
      <c r="G19" s="3" t="s">
        <v>14</v>
      </c>
      <c r="H19" s="15">
        <v>2898073.2</v>
      </c>
      <c r="I19" s="17">
        <f t="shared" si="2"/>
        <v>805020333.33333337</v>
      </c>
    </row>
    <row r="20" spans="1:9">
      <c r="A20" s="8">
        <f t="shared" si="0"/>
        <v>17</v>
      </c>
      <c r="B20" s="15">
        <v>632537.45200000005</v>
      </c>
      <c r="C20" s="16">
        <f>(B20/3.6)*1000</f>
        <v>175704847.77777779</v>
      </c>
      <c r="D20" s="3" t="s">
        <v>14</v>
      </c>
      <c r="E20" s="15"/>
      <c r="F20" s="16"/>
      <c r="G20" s="3"/>
      <c r="H20" s="15">
        <v>3732439.3000000003</v>
      </c>
      <c r="I20" s="17">
        <f t="shared" si="2"/>
        <v>1036788694.4444445</v>
      </c>
    </row>
    <row r="21" spans="1:9">
      <c r="A21" s="8">
        <f t="shared" si="0"/>
        <v>18</v>
      </c>
      <c r="B21" s="15">
        <v>514096.288</v>
      </c>
      <c r="C21" s="16">
        <f>(B21/3.6)*1000</f>
        <v>142804524.44444445</v>
      </c>
      <c r="D21" s="3" t="s">
        <v>14</v>
      </c>
      <c r="E21" s="15"/>
      <c r="F21" s="16"/>
      <c r="G21" s="3"/>
      <c r="H21" s="15">
        <v>5102934</v>
      </c>
      <c r="I21" s="17">
        <f t="shared" si="2"/>
        <v>1417481666.6666667</v>
      </c>
    </row>
    <row r="22" spans="1:9">
      <c r="A22" s="8">
        <f t="shared" si="0"/>
        <v>19</v>
      </c>
      <c r="B22" s="15">
        <v>514201.40399999998</v>
      </c>
      <c r="C22" s="16">
        <f t="shared" ref="C22:C33" si="3">(B22/3.6)*1000</f>
        <v>142833723.33333331</v>
      </c>
      <c r="D22" s="3" t="s">
        <v>14</v>
      </c>
      <c r="E22" s="15"/>
      <c r="F22" s="16"/>
      <c r="G22" s="3"/>
      <c r="H22" s="15">
        <v>4579228.3923109379</v>
      </c>
      <c r="I22" s="17">
        <f t="shared" si="2"/>
        <v>1272007886.7530382</v>
      </c>
    </row>
    <row r="23" spans="1:9">
      <c r="A23" s="8">
        <f t="shared" si="0"/>
        <v>20</v>
      </c>
      <c r="B23" s="15">
        <v>514260.80599999998</v>
      </c>
      <c r="C23" s="16">
        <f t="shared" si="3"/>
        <v>142850223.88888887</v>
      </c>
      <c r="D23" s="3" t="s">
        <v>14</v>
      </c>
      <c r="E23" s="15"/>
      <c r="F23" s="16"/>
      <c r="G23" s="3"/>
      <c r="H23" s="15">
        <v>4061621.2</v>
      </c>
      <c r="I23" s="17">
        <f t="shared" si="2"/>
        <v>1128228111.1111112</v>
      </c>
    </row>
    <row r="24" spans="1:9">
      <c r="A24" s="18">
        <f t="shared" si="0"/>
        <v>21</v>
      </c>
      <c r="B24" s="15">
        <v>355911.62199999997</v>
      </c>
      <c r="C24" s="16">
        <f t="shared" si="3"/>
        <v>98864339.444444433</v>
      </c>
      <c r="D24" s="3" t="s">
        <v>14</v>
      </c>
      <c r="E24" s="15"/>
      <c r="F24" s="16"/>
      <c r="G24" s="3"/>
      <c r="H24" s="15">
        <v>3537214.3259921875</v>
      </c>
      <c r="I24" s="17">
        <f t="shared" si="2"/>
        <v>982559534.99782979</v>
      </c>
    </row>
    <row r="25" spans="1:9">
      <c r="A25" s="18">
        <f t="shared" si="0"/>
        <v>22</v>
      </c>
      <c r="B25" s="15">
        <v>237035.696</v>
      </c>
      <c r="C25" s="16">
        <f t="shared" si="3"/>
        <v>65843248.888888888</v>
      </c>
      <c r="D25" s="3" t="s">
        <v>14</v>
      </c>
      <c r="E25" s="15"/>
      <c r="F25" s="16"/>
      <c r="G25" s="3"/>
      <c r="H25" s="15">
        <v>3178380.3000000003</v>
      </c>
      <c r="I25" s="17">
        <f t="shared" si="2"/>
        <v>882883416.66666675</v>
      </c>
    </row>
    <row r="26" spans="1:9">
      <c r="A26" s="8">
        <f t="shared" si="0"/>
        <v>23</v>
      </c>
      <c r="B26" s="15">
        <v>515079.44400000002</v>
      </c>
      <c r="C26" s="16">
        <f t="shared" si="3"/>
        <v>143077623.33333331</v>
      </c>
      <c r="D26" s="3" t="s">
        <v>14</v>
      </c>
      <c r="E26" s="15"/>
      <c r="F26" s="16"/>
      <c r="G26" s="3"/>
      <c r="H26" s="15">
        <v>2939400.8044374026</v>
      </c>
      <c r="I26" s="17">
        <f t="shared" si="2"/>
        <v>816500223.4548341</v>
      </c>
    </row>
    <row r="27" spans="1:9">
      <c r="A27" s="8">
        <f t="shared" si="0"/>
        <v>24</v>
      </c>
      <c r="B27" s="15">
        <v>800274.36800000002</v>
      </c>
      <c r="C27" s="16">
        <f t="shared" si="3"/>
        <v>222298435.55555555</v>
      </c>
      <c r="D27" s="3" t="s">
        <v>14</v>
      </c>
      <c r="E27" s="15">
        <v>3321466.7170000002</v>
      </c>
      <c r="F27" s="16">
        <f>(E27/3.6)*1000</f>
        <v>922629643.61111104</v>
      </c>
      <c r="G27" s="3" t="s">
        <v>14</v>
      </c>
      <c r="H27" s="15">
        <v>2412313.6000000001</v>
      </c>
      <c r="I27" s="17">
        <f t="shared" si="2"/>
        <v>670087111.11111116</v>
      </c>
    </row>
    <row r="28" spans="1:9">
      <c r="A28" s="8">
        <f t="shared" si="0"/>
        <v>25</v>
      </c>
      <c r="B28" s="15">
        <v>673488.19700000004</v>
      </c>
      <c r="C28" s="16">
        <f t="shared" si="3"/>
        <v>187080054.72222224</v>
      </c>
      <c r="D28" s="3" t="s">
        <v>14</v>
      </c>
      <c r="E28" s="15"/>
      <c r="F28" s="16"/>
      <c r="G28" s="3"/>
      <c r="H28" s="15">
        <v>3283702.0477941409</v>
      </c>
      <c r="I28" s="17">
        <f t="shared" si="2"/>
        <v>912139457.72059476</v>
      </c>
    </row>
    <row r="29" spans="1:9">
      <c r="A29" s="8">
        <f t="shared" si="0"/>
        <v>26</v>
      </c>
      <c r="B29" s="15">
        <v>817338.03899999999</v>
      </c>
      <c r="C29" s="16">
        <f t="shared" si="3"/>
        <v>227038344.16666666</v>
      </c>
      <c r="D29" s="3" t="s">
        <v>14</v>
      </c>
      <c r="E29" s="27"/>
      <c r="F29" s="16"/>
      <c r="G29" s="3"/>
      <c r="H29" s="15">
        <v>4261578.9000000004</v>
      </c>
      <c r="I29" s="17">
        <f t="shared" si="2"/>
        <v>1183771916.6666667</v>
      </c>
    </row>
    <row r="30" spans="1:9">
      <c r="A30" s="8">
        <f t="shared" si="0"/>
        <v>27</v>
      </c>
      <c r="B30" s="15">
        <v>844541.63399999996</v>
      </c>
      <c r="C30" s="16">
        <f t="shared" si="3"/>
        <v>234594898.33333331</v>
      </c>
      <c r="D30" s="3" t="s">
        <v>14</v>
      </c>
      <c r="E30" s="15"/>
      <c r="F30" s="16"/>
      <c r="G30" s="3"/>
      <c r="H30" s="15">
        <v>3427157.7751812502</v>
      </c>
      <c r="I30" s="17">
        <f t="shared" si="2"/>
        <v>951988270.88368058</v>
      </c>
    </row>
    <row r="31" spans="1:9">
      <c r="A31" s="18">
        <f t="shared" si="0"/>
        <v>28</v>
      </c>
      <c r="B31" s="15">
        <v>605497.83799999999</v>
      </c>
      <c r="C31" s="16">
        <f t="shared" si="3"/>
        <v>168193843.8888889</v>
      </c>
      <c r="D31" s="3" t="s">
        <v>14</v>
      </c>
      <c r="E31" s="15"/>
      <c r="F31" s="16"/>
      <c r="G31" s="3"/>
      <c r="H31" s="15">
        <v>2572482.2000000002</v>
      </c>
      <c r="I31" s="17">
        <f t="shared" si="2"/>
        <v>714578388.88888884</v>
      </c>
    </row>
    <row r="32" spans="1:9">
      <c r="A32" s="18">
        <f t="shared" si="0"/>
        <v>29</v>
      </c>
      <c r="B32" s="15">
        <v>474746.24300000002</v>
      </c>
      <c r="C32" s="16">
        <f t="shared" si="3"/>
        <v>131873956.38888888</v>
      </c>
      <c r="D32" s="3" t="s">
        <v>14</v>
      </c>
      <c r="E32" s="15">
        <v>3473498.014</v>
      </c>
      <c r="F32" s="16">
        <f>(E32/3.6)*1000</f>
        <v>964860559.44444442</v>
      </c>
      <c r="G32" s="3" t="s">
        <v>14</v>
      </c>
      <c r="H32" s="15">
        <v>1964415.1</v>
      </c>
      <c r="I32" s="17">
        <f t="shared" si="2"/>
        <v>545670861.11111116</v>
      </c>
    </row>
    <row r="33" spans="1:10">
      <c r="A33" s="8">
        <f t="shared" si="0"/>
        <v>30</v>
      </c>
      <c r="B33" s="15">
        <v>851941.68799999997</v>
      </c>
      <c r="C33" s="16">
        <f t="shared" si="3"/>
        <v>236650468.88888887</v>
      </c>
      <c r="D33" s="3" t="s">
        <v>14</v>
      </c>
      <c r="E33" s="15"/>
      <c r="F33" s="16"/>
      <c r="G33" s="3"/>
      <c r="H33" s="15">
        <v>1783279.5</v>
      </c>
      <c r="I33" s="17">
        <f t="shared" si="2"/>
        <v>495355416.66666663</v>
      </c>
    </row>
    <row r="34" spans="1:10">
      <c r="A34" s="51"/>
      <c r="B34" s="25"/>
      <c r="C34" s="25"/>
      <c r="D34" s="26"/>
      <c r="E34" s="25"/>
      <c r="F34" s="25"/>
      <c r="G34" s="26"/>
      <c r="H34" s="25"/>
      <c r="I34" s="25"/>
    </row>
    <row r="35" spans="1:10" ht="21.6" customHeight="1">
      <c r="A35" s="7" t="s">
        <v>3</v>
      </c>
      <c r="B35" s="163" t="s">
        <v>17</v>
      </c>
      <c r="C35" s="163"/>
      <c r="D35" s="163"/>
      <c r="E35" s="164"/>
      <c r="F35" s="164"/>
      <c r="G35" s="164"/>
      <c r="H35" s="164"/>
      <c r="I35" s="81"/>
      <c r="J35" s="81"/>
    </row>
    <row r="36" spans="1:10" ht="21.6" customHeight="1">
      <c r="A36" s="7" t="s">
        <v>4</v>
      </c>
      <c r="B36" s="165" t="s">
        <v>13</v>
      </c>
      <c r="C36" s="165"/>
      <c r="D36" s="165"/>
      <c r="E36" s="165"/>
      <c r="F36" s="165"/>
      <c r="G36" s="165"/>
      <c r="H36" s="165"/>
      <c r="I36" s="78"/>
      <c r="J36" s="81"/>
    </row>
    <row r="37" spans="1:10" ht="21.6" customHeight="1">
      <c r="A37" s="7" t="s">
        <v>5</v>
      </c>
      <c r="B37" s="165" t="s">
        <v>18</v>
      </c>
      <c r="C37" s="165"/>
      <c r="D37" s="165"/>
      <c r="E37" s="166"/>
      <c r="F37" s="166"/>
      <c r="G37" s="166"/>
      <c r="H37" s="166"/>
      <c r="I37" s="79"/>
      <c r="J37" s="79"/>
    </row>
    <row r="38" spans="1:10" ht="21.6" customHeight="1">
      <c r="A38" s="7" t="s">
        <v>6</v>
      </c>
      <c r="B38" s="165" t="s">
        <v>0</v>
      </c>
      <c r="C38" s="165"/>
      <c r="D38" s="165"/>
      <c r="E38" s="165"/>
      <c r="F38" s="165"/>
      <c r="G38" s="165"/>
      <c r="H38" s="165"/>
      <c r="I38" s="78"/>
      <c r="J38" s="79"/>
    </row>
    <row r="39" spans="1:10" ht="21.6" customHeight="1">
      <c r="A39" s="7" t="s">
        <v>7</v>
      </c>
      <c r="B39" s="165" t="s">
        <v>16</v>
      </c>
      <c r="C39" s="165"/>
      <c r="D39" s="165"/>
      <c r="E39" s="166"/>
      <c r="F39" s="166"/>
      <c r="G39" s="166"/>
      <c r="H39" s="166"/>
      <c r="I39" s="79"/>
      <c r="J39" s="4"/>
    </row>
    <row r="40" spans="1:10" ht="21.6" customHeight="1">
      <c r="A40" s="28" t="s">
        <v>19</v>
      </c>
      <c r="B40" s="149" t="s">
        <v>20</v>
      </c>
      <c r="C40" s="150"/>
      <c r="D40" s="150"/>
      <c r="E40" s="150"/>
      <c r="F40" s="150"/>
      <c r="G40" s="150"/>
      <c r="H40" s="150"/>
      <c r="I40" s="80"/>
      <c r="J40" s="6"/>
    </row>
    <row r="41" spans="1:10" ht="21.6" customHeight="1">
      <c r="A41" s="1"/>
      <c r="B41" s="1"/>
      <c r="C41" s="1"/>
      <c r="D41" s="1"/>
      <c r="E41" s="1"/>
      <c r="F41" s="1"/>
      <c r="G41" s="1"/>
      <c r="H41" s="1"/>
      <c r="I41" s="1"/>
    </row>
    <row r="42" spans="1:10" ht="21.6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10" ht="21.6" customHeight="1">
      <c r="A43" s="1"/>
      <c r="B43" s="1"/>
      <c r="C43" s="1"/>
      <c r="D43" s="1"/>
      <c r="E43" s="1"/>
      <c r="F43" s="1"/>
      <c r="G43" s="1"/>
      <c r="H43" s="1"/>
      <c r="I43" s="1"/>
    </row>
  </sheetData>
  <mergeCells count="13">
    <mergeCell ref="B40:H40"/>
    <mergeCell ref="A1:I1"/>
    <mergeCell ref="A2:A3"/>
    <mergeCell ref="B2:C2"/>
    <mergeCell ref="D2:D3"/>
    <mergeCell ref="E2:F2"/>
    <mergeCell ref="G2:G3"/>
    <mergeCell ref="H2:I2"/>
    <mergeCell ref="B35:H35"/>
    <mergeCell ref="B36:H36"/>
    <mergeCell ref="B37:H37"/>
    <mergeCell ref="B38:H38"/>
    <mergeCell ref="B39:H39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>
      <selection activeCell="D4" sqref="D4:D34"/>
    </sheetView>
  </sheetViews>
  <sheetFormatPr defaultRowHeight="12.75"/>
  <cols>
    <col min="1" max="1" width="10.140625" customWidth="1"/>
    <col min="2" max="2" width="16.85546875" customWidth="1"/>
    <col min="3" max="3" width="16.5703125" customWidth="1"/>
    <col min="4" max="4" width="19.85546875" customWidth="1"/>
    <col min="5" max="6" width="17.140625" customWidth="1"/>
    <col min="7" max="7" width="19.85546875" customWidth="1"/>
    <col min="8" max="8" width="16.85546875" customWidth="1"/>
    <col min="9" max="9" width="17.140625" customWidth="1"/>
  </cols>
  <sheetData>
    <row r="1" spans="1:9" ht="51" customHeight="1" thickBot="1">
      <c r="A1" s="151" t="s">
        <v>33</v>
      </c>
      <c r="B1" s="151"/>
      <c r="C1" s="151"/>
      <c r="D1" s="151"/>
      <c r="E1" s="151"/>
      <c r="F1" s="151"/>
      <c r="G1" s="151"/>
      <c r="H1" s="151"/>
      <c r="I1" s="151"/>
    </row>
    <row r="2" spans="1:9">
      <c r="A2" s="152" t="s">
        <v>11</v>
      </c>
      <c r="B2" s="153" t="s">
        <v>2</v>
      </c>
      <c r="C2" s="154"/>
      <c r="D2" s="155" t="s">
        <v>12</v>
      </c>
      <c r="E2" s="157" t="s">
        <v>8</v>
      </c>
      <c r="F2" s="158"/>
      <c r="G2" s="159" t="s">
        <v>9</v>
      </c>
      <c r="H2" s="161" t="s">
        <v>10</v>
      </c>
      <c r="I2" s="162"/>
    </row>
    <row r="3" spans="1:9">
      <c r="A3" s="152"/>
      <c r="B3" s="5" t="s">
        <v>1</v>
      </c>
      <c r="C3" s="10" t="s">
        <v>29</v>
      </c>
      <c r="D3" s="156"/>
      <c r="E3" s="2" t="s">
        <v>1</v>
      </c>
      <c r="F3" s="11" t="s">
        <v>29</v>
      </c>
      <c r="G3" s="160"/>
      <c r="H3" s="12" t="s">
        <v>1</v>
      </c>
      <c r="I3" s="13" t="s">
        <v>29</v>
      </c>
    </row>
    <row r="4" spans="1:9">
      <c r="A4" s="8">
        <v>1</v>
      </c>
      <c r="B4" s="15">
        <v>831489.43700000003</v>
      </c>
      <c r="C4" s="16">
        <f>(B4/3.6)*1000</f>
        <v>230969288.05555555</v>
      </c>
      <c r="D4" s="3" t="s">
        <v>14</v>
      </c>
      <c r="E4" s="15"/>
      <c r="F4" s="16"/>
      <c r="G4" s="3"/>
      <c r="H4" s="15">
        <v>4105772.4000000004</v>
      </c>
      <c r="I4" s="17">
        <f>(H4/3.6)*1000</f>
        <v>1140492333.3333335</v>
      </c>
    </row>
    <row r="5" spans="1:9">
      <c r="A5" s="8">
        <f>A4+1</f>
        <v>2</v>
      </c>
      <c r="B5" s="15">
        <v>514764.28</v>
      </c>
      <c r="C5" s="16">
        <f>(B5/3.6)*1000</f>
        <v>142990077.77777776</v>
      </c>
      <c r="D5" s="3" t="s">
        <v>14</v>
      </c>
      <c r="E5" s="15"/>
      <c r="F5" s="16"/>
      <c r="G5" s="3"/>
      <c r="H5" s="15">
        <v>3265195.6030984377</v>
      </c>
      <c r="I5" s="17">
        <f>(H5/3.6)*1000</f>
        <v>906998778.63845479</v>
      </c>
    </row>
    <row r="6" spans="1:9">
      <c r="A6" s="8">
        <f>A5+1</f>
        <v>3</v>
      </c>
      <c r="B6" s="15">
        <v>514878.80699999997</v>
      </c>
      <c r="C6" s="16">
        <f>(B6/3.6)*1000</f>
        <v>143021890.83333331</v>
      </c>
      <c r="D6" s="3" t="s">
        <v>14</v>
      </c>
      <c r="E6" s="15"/>
      <c r="F6" s="16"/>
      <c r="G6" s="3"/>
      <c r="H6" s="15">
        <v>2747611.2489500977</v>
      </c>
      <c r="I6" s="17">
        <f>(H6/3.6)*1000</f>
        <v>763225346.93058264</v>
      </c>
    </row>
    <row r="7" spans="1:9">
      <c r="A7" s="8">
        <f t="shared" ref="A7:A34" si="0">A6+1</f>
        <v>4</v>
      </c>
      <c r="B7" s="15">
        <v>851270.68599999999</v>
      </c>
      <c r="C7" s="16">
        <f t="shared" ref="C7:C34" si="1">(B7/3.6)*1000</f>
        <v>236464079.44444445</v>
      </c>
      <c r="D7" s="3" t="s">
        <v>14</v>
      </c>
      <c r="E7" s="15"/>
      <c r="F7" s="16"/>
      <c r="G7" s="3"/>
      <c r="H7" s="15">
        <v>2223584.3246690431</v>
      </c>
      <c r="I7" s="17">
        <f t="shared" ref="I7:I30" si="2">(H7/3.6)*1000</f>
        <v>617662312.40806746</v>
      </c>
    </row>
    <row r="8" spans="1:9">
      <c r="A8" s="8">
        <f t="shared" si="0"/>
        <v>5</v>
      </c>
      <c r="B8" s="15">
        <v>435346.98200000002</v>
      </c>
      <c r="C8" s="16">
        <f t="shared" si="1"/>
        <v>120929717.22222222</v>
      </c>
      <c r="D8" s="3" t="s">
        <v>14</v>
      </c>
      <c r="E8" s="15"/>
      <c r="F8" s="16"/>
      <c r="G8" s="3"/>
      <c r="H8" s="15">
        <v>1356878.2000000002</v>
      </c>
      <c r="I8" s="17">
        <f t="shared" si="2"/>
        <v>376910611.11111116</v>
      </c>
    </row>
    <row r="9" spans="1:9">
      <c r="A9" s="8">
        <f t="shared" si="0"/>
        <v>6</v>
      </c>
      <c r="B9" s="15">
        <v>356135.62900000002</v>
      </c>
      <c r="C9" s="16">
        <f t="shared" si="1"/>
        <v>98926563.611111104</v>
      </c>
      <c r="D9" s="3" t="s">
        <v>14</v>
      </c>
      <c r="E9" s="15">
        <v>3347659.625</v>
      </c>
      <c r="F9" s="16">
        <f>(E9/3.6)*1000</f>
        <v>929905451.38888884</v>
      </c>
      <c r="G9" s="3" t="s">
        <v>14</v>
      </c>
      <c r="H9" s="15">
        <v>921969.60000000009</v>
      </c>
      <c r="I9" s="17">
        <f t="shared" si="2"/>
        <v>256102666.66666669</v>
      </c>
    </row>
    <row r="10" spans="1:9">
      <c r="A10" s="8">
        <f t="shared" si="0"/>
        <v>7</v>
      </c>
      <c r="B10" s="15">
        <v>593396.326</v>
      </c>
      <c r="C10" s="16">
        <f t="shared" si="1"/>
        <v>164832312.77777779</v>
      </c>
      <c r="D10" s="3" t="s">
        <v>14</v>
      </c>
      <c r="E10" s="15"/>
      <c r="F10" s="16"/>
      <c r="G10" s="3"/>
      <c r="H10" s="15">
        <v>2088795.2000000002</v>
      </c>
      <c r="I10" s="17">
        <f t="shared" si="2"/>
        <v>580220888.88888884</v>
      </c>
    </row>
    <row r="11" spans="1:9">
      <c r="A11" s="8">
        <f t="shared" si="0"/>
        <v>8</v>
      </c>
      <c r="B11" s="15">
        <v>514261.859</v>
      </c>
      <c r="C11" s="16">
        <f t="shared" si="1"/>
        <v>142850516.38888887</v>
      </c>
      <c r="D11" s="3" t="s">
        <v>14</v>
      </c>
      <c r="E11" s="15"/>
      <c r="F11" s="16"/>
      <c r="G11" s="3"/>
      <c r="H11" s="15">
        <v>3320294.7825867189</v>
      </c>
      <c r="I11" s="17">
        <f t="shared" si="2"/>
        <v>922304106.27408862</v>
      </c>
    </row>
    <row r="12" spans="1:9">
      <c r="A12" s="8">
        <f t="shared" si="0"/>
        <v>9</v>
      </c>
      <c r="B12" s="15">
        <v>851596.29799999995</v>
      </c>
      <c r="C12" s="16">
        <f t="shared" si="1"/>
        <v>236554527.22222221</v>
      </c>
      <c r="D12" s="3" t="s">
        <v>14</v>
      </c>
      <c r="E12" s="15"/>
      <c r="F12" s="16"/>
      <c r="G12" s="3"/>
      <c r="H12" s="15">
        <v>2802179.3000000003</v>
      </c>
      <c r="I12" s="17">
        <f t="shared" si="2"/>
        <v>778383138.88888896</v>
      </c>
    </row>
    <row r="13" spans="1:9">
      <c r="A13" s="8">
        <f t="shared" si="0"/>
        <v>10</v>
      </c>
      <c r="B13" s="15">
        <v>634050.35699999996</v>
      </c>
      <c r="C13" s="16">
        <f t="shared" si="1"/>
        <v>176125099.16666666</v>
      </c>
      <c r="D13" s="3" t="s">
        <v>14</v>
      </c>
      <c r="E13" s="15">
        <v>3463724.656</v>
      </c>
      <c r="F13" s="16">
        <f>(E13/3.6)*1000</f>
        <v>962145737.77777767</v>
      </c>
      <c r="G13" s="3" t="s">
        <v>14</v>
      </c>
      <c r="H13" s="15">
        <v>1931289.3097287109</v>
      </c>
      <c r="I13" s="17">
        <f t="shared" si="2"/>
        <v>536469252.70241964</v>
      </c>
    </row>
    <row r="14" spans="1:9">
      <c r="A14" s="8">
        <f t="shared" si="0"/>
        <v>11</v>
      </c>
      <c r="B14" s="15">
        <v>633361.098</v>
      </c>
      <c r="C14" s="16">
        <f t="shared" si="1"/>
        <v>175933638.33333334</v>
      </c>
      <c r="D14" s="3" t="s">
        <v>14</v>
      </c>
      <c r="E14" s="15"/>
      <c r="F14" s="16"/>
      <c r="G14" s="3"/>
      <c r="H14" s="15">
        <v>2403710.0387632814</v>
      </c>
      <c r="I14" s="17">
        <f t="shared" si="2"/>
        <v>667697232.98980045</v>
      </c>
    </row>
    <row r="15" spans="1:9">
      <c r="A15" s="8">
        <f t="shared" si="0"/>
        <v>12</v>
      </c>
      <c r="B15" s="15">
        <v>237143.087</v>
      </c>
      <c r="C15" s="16">
        <f t="shared" si="1"/>
        <v>65873079.722222216</v>
      </c>
      <c r="D15" s="3" t="s">
        <v>14</v>
      </c>
      <c r="E15" s="15"/>
      <c r="F15" s="16"/>
      <c r="G15" s="3"/>
      <c r="H15" s="15">
        <v>4129678.7812589849</v>
      </c>
      <c r="I15" s="17">
        <f t="shared" si="2"/>
        <v>1147132994.7941625</v>
      </c>
    </row>
    <row r="16" spans="1:9">
      <c r="A16" s="8">
        <f t="shared" si="0"/>
        <v>13</v>
      </c>
      <c r="B16" s="15">
        <v>237108.28099999999</v>
      </c>
      <c r="C16" s="16">
        <f t="shared" si="1"/>
        <v>65863411.388888881</v>
      </c>
      <c r="D16" s="3" t="s">
        <v>14</v>
      </c>
      <c r="E16" s="15"/>
      <c r="F16" s="16"/>
      <c r="G16" s="3"/>
      <c r="H16" s="15">
        <v>3891315.5436191405</v>
      </c>
      <c r="I16" s="17">
        <f t="shared" si="2"/>
        <v>1080920984.33865</v>
      </c>
    </row>
    <row r="17" spans="1:9">
      <c r="A17" s="8">
        <f t="shared" si="0"/>
        <v>14</v>
      </c>
      <c r="B17" s="15">
        <v>851789.79200000002</v>
      </c>
      <c r="C17" s="16">
        <f t="shared" si="1"/>
        <v>236608275.55555555</v>
      </c>
      <c r="D17" s="3" t="s">
        <v>14</v>
      </c>
      <c r="E17" s="15"/>
      <c r="F17" s="16"/>
      <c r="G17" s="3"/>
      <c r="H17" s="15">
        <v>3647968.8000000003</v>
      </c>
      <c r="I17" s="17">
        <f t="shared" si="2"/>
        <v>1013324666.6666667</v>
      </c>
    </row>
    <row r="18" spans="1:9">
      <c r="A18" s="8">
        <f t="shared" si="0"/>
        <v>15</v>
      </c>
      <c r="B18" s="15">
        <v>572785.54399999999</v>
      </c>
      <c r="C18" s="16">
        <f t="shared" si="1"/>
        <v>159107095.55555555</v>
      </c>
      <c r="D18" s="3" t="s">
        <v>14</v>
      </c>
      <c r="E18" s="15"/>
      <c r="F18" s="16"/>
      <c r="G18" s="3"/>
      <c r="H18" s="15">
        <v>2784345.3000000003</v>
      </c>
      <c r="I18" s="17">
        <f t="shared" si="2"/>
        <v>773429250.00000012</v>
      </c>
    </row>
    <row r="19" spans="1:9">
      <c r="A19" s="8">
        <f t="shared" si="0"/>
        <v>16</v>
      </c>
      <c r="B19" s="15">
        <v>852433.66599999997</v>
      </c>
      <c r="C19" s="16">
        <f t="shared" si="1"/>
        <v>236787129.44444445</v>
      </c>
      <c r="D19" s="3" t="s">
        <v>14</v>
      </c>
      <c r="E19" s="15"/>
      <c r="F19" s="16"/>
      <c r="G19" s="3"/>
      <c r="H19" s="15">
        <v>2206981.6</v>
      </c>
      <c r="I19" s="17">
        <f t="shared" si="2"/>
        <v>613050444.44444454</v>
      </c>
    </row>
    <row r="20" spans="1:9">
      <c r="A20" s="8">
        <f t="shared" si="0"/>
        <v>17</v>
      </c>
      <c r="B20" s="15">
        <v>793009.679</v>
      </c>
      <c r="C20" s="16">
        <f t="shared" si="1"/>
        <v>220280466.3888889</v>
      </c>
      <c r="D20" s="3" t="s">
        <v>14</v>
      </c>
      <c r="E20" s="15"/>
      <c r="F20" s="16"/>
      <c r="G20" s="3"/>
      <c r="H20" s="15">
        <v>1342490.5</v>
      </c>
      <c r="I20" s="17">
        <f t="shared" si="2"/>
        <v>372914027.77777773</v>
      </c>
    </row>
    <row r="21" spans="1:9">
      <c r="A21" s="8">
        <f t="shared" si="0"/>
        <v>18</v>
      </c>
      <c r="B21" s="15">
        <v>634211.64800000004</v>
      </c>
      <c r="C21" s="16">
        <f t="shared" si="1"/>
        <v>176169902.22222224</v>
      </c>
      <c r="D21" s="3" t="s">
        <v>14</v>
      </c>
      <c r="E21" s="15">
        <v>3466666.6060000001</v>
      </c>
      <c r="F21" s="16">
        <f>(E21/3.6)*1000</f>
        <v>962962946.11111104</v>
      </c>
      <c r="G21" s="3" t="s">
        <v>14</v>
      </c>
      <c r="H21" s="15">
        <v>544599.77740668948</v>
      </c>
      <c r="I21" s="17">
        <f t="shared" si="2"/>
        <v>151277715.94630262</v>
      </c>
    </row>
    <row r="22" spans="1:9">
      <c r="A22" s="8">
        <f t="shared" si="0"/>
        <v>19</v>
      </c>
      <c r="B22" s="15">
        <v>712534.31400000001</v>
      </c>
      <c r="C22" s="16">
        <f t="shared" si="1"/>
        <v>197926198.33333334</v>
      </c>
      <c r="D22" s="3" t="s">
        <v>14</v>
      </c>
      <c r="E22" s="15"/>
      <c r="F22" s="16"/>
      <c r="G22" s="3"/>
      <c r="H22" s="15">
        <v>1211820.3</v>
      </c>
      <c r="I22" s="17">
        <f t="shared" si="2"/>
        <v>336616750</v>
      </c>
    </row>
    <row r="23" spans="1:9">
      <c r="A23" s="8">
        <f t="shared" si="0"/>
        <v>20</v>
      </c>
      <c r="B23" s="15">
        <v>533924.11800000002</v>
      </c>
      <c r="C23" s="16">
        <f t="shared" si="1"/>
        <v>148312255</v>
      </c>
      <c r="D23" s="3" t="s">
        <v>14</v>
      </c>
      <c r="E23" s="15"/>
      <c r="F23" s="16"/>
      <c r="G23" s="3"/>
      <c r="H23" s="15">
        <v>2663050</v>
      </c>
      <c r="I23" s="17">
        <f t="shared" si="2"/>
        <v>739736111.11111116</v>
      </c>
    </row>
    <row r="24" spans="1:9">
      <c r="A24" s="8">
        <f t="shared" si="0"/>
        <v>21</v>
      </c>
      <c r="B24" s="15">
        <v>851726.50399999996</v>
      </c>
      <c r="C24" s="16">
        <f t="shared" si="1"/>
        <v>236590695.55555555</v>
      </c>
      <c r="D24" s="3" t="s">
        <v>14</v>
      </c>
      <c r="E24" s="15"/>
      <c r="F24" s="16"/>
      <c r="G24" s="3"/>
      <c r="H24" s="15">
        <v>2123426.5587166995</v>
      </c>
      <c r="I24" s="17">
        <f t="shared" si="2"/>
        <v>589840710.75463879</v>
      </c>
    </row>
    <row r="25" spans="1:9">
      <c r="A25" s="8">
        <f t="shared" si="0"/>
        <v>22</v>
      </c>
      <c r="B25" s="15">
        <v>851812.728</v>
      </c>
      <c r="C25" s="16">
        <f t="shared" si="1"/>
        <v>236614646.66666666</v>
      </c>
      <c r="D25" s="3" t="s">
        <v>14</v>
      </c>
      <c r="E25" s="15">
        <v>3320037.6549999998</v>
      </c>
      <c r="F25" s="16">
        <f>(E25/3.6)*1000</f>
        <v>922232681.9444443</v>
      </c>
      <c r="G25" s="3" t="s">
        <v>14</v>
      </c>
      <c r="H25" s="15">
        <v>1257417.804956787</v>
      </c>
      <c r="I25" s="17">
        <f t="shared" si="2"/>
        <v>349282723.5991075</v>
      </c>
    </row>
    <row r="26" spans="1:9">
      <c r="A26" s="8">
        <f t="shared" si="0"/>
        <v>23</v>
      </c>
      <c r="B26" s="15">
        <v>850907.598</v>
      </c>
      <c r="C26" s="16">
        <f t="shared" si="1"/>
        <v>236363221.66666666</v>
      </c>
      <c r="D26" s="3" t="s">
        <v>14</v>
      </c>
      <c r="E26" s="15"/>
      <c r="F26" s="16"/>
      <c r="G26" s="3"/>
      <c r="H26" s="15">
        <v>2994816.5371197267</v>
      </c>
      <c r="I26" s="17">
        <f t="shared" si="2"/>
        <v>831893482.53325737</v>
      </c>
    </row>
    <row r="27" spans="1:9">
      <c r="A27" s="8">
        <f t="shared" si="0"/>
        <v>24</v>
      </c>
      <c r="B27" s="15">
        <v>771829.45499999996</v>
      </c>
      <c r="C27" s="16">
        <f t="shared" si="1"/>
        <v>214397070.83333331</v>
      </c>
      <c r="D27" s="3" t="s">
        <v>14</v>
      </c>
      <c r="E27" s="15"/>
      <c r="F27" s="16"/>
      <c r="G27" s="3"/>
      <c r="H27" s="15">
        <v>2877829.2</v>
      </c>
      <c r="I27" s="17">
        <f t="shared" si="2"/>
        <v>799397000</v>
      </c>
    </row>
    <row r="28" spans="1:9">
      <c r="A28" s="8">
        <f t="shared" si="0"/>
        <v>25</v>
      </c>
      <c r="B28" s="15">
        <v>474637.89299999998</v>
      </c>
      <c r="C28" s="16">
        <f t="shared" si="1"/>
        <v>131843859.16666666</v>
      </c>
      <c r="D28" s="3" t="s">
        <v>14</v>
      </c>
      <c r="E28" s="15"/>
      <c r="F28" s="16"/>
      <c r="G28" s="3"/>
      <c r="H28" s="15">
        <v>2102122.5</v>
      </c>
      <c r="I28" s="17">
        <f t="shared" si="2"/>
        <v>583922916.66666663</v>
      </c>
    </row>
    <row r="29" spans="1:9">
      <c r="A29" s="8">
        <f t="shared" si="0"/>
        <v>26</v>
      </c>
      <c r="B29" s="15">
        <v>435179.97100000002</v>
      </c>
      <c r="C29" s="16">
        <f t="shared" si="1"/>
        <v>120883325.27777778</v>
      </c>
      <c r="D29" s="3" t="s">
        <v>14</v>
      </c>
      <c r="E29" s="15">
        <v>3477411.554</v>
      </c>
      <c r="F29" s="16">
        <f>(E29/3.6)*1000</f>
        <v>965947653.88888884</v>
      </c>
      <c r="G29" s="3" t="s">
        <v>14</v>
      </c>
      <c r="H29" s="15">
        <v>1623351.9000000001</v>
      </c>
      <c r="I29" s="17">
        <f t="shared" si="2"/>
        <v>450931083.33333337</v>
      </c>
    </row>
    <row r="30" spans="1:9">
      <c r="A30" s="8">
        <f t="shared" si="0"/>
        <v>27</v>
      </c>
      <c r="B30" s="15">
        <v>573879.04299999995</v>
      </c>
      <c r="C30" s="16">
        <f t="shared" si="1"/>
        <v>159410845.27777776</v>
      </c>
      <c r="D30" s="3" t="s">
        <v>14</v>
      </c>
      <c r="E30" s="15"/>
      <c r="F30" s="16"/>
      <c r="G30" s="3"/>
      <c r="H30" s="15">
        <v>2639028.7125769532</v>
      </c>
      <c r="I30" s="17">
        <f t="shared" si="2"/>
        <v>733063531.27137578</v>
      </c>
    </row>
    <row r="31" spans="1:9">
      <c r="A31" s="8">
        <f t="shared" si="0"/>
        <v>28</v>
      </c>
      <c r="B31" s="15">
        <v>799307.79599999997</v>
      </c>
      <c r="C31" s="16">
        <f t="shared" si="1"/>
        <v>222029943.33333334</v>
      </c>
      <c r="D31" s="3" t="s">
        <v>14</v>
      </c>
      <c r="E31" s="15"/>
      <c r="F31" s="16"/>
      <c r="G31" s="3"/>
      <c r="H31" s="15">
        <v>4083287.1</v>
      </c>
      <c r="I31" s="17">
        <f>(H31/3.6)*1000</f>
        <v>1134246416.6666667</v>
      </c>
    </row>
    <row r="32" spans="1:9">
      <c r="A32" s="8">
        <f t="shared" si="0"/>
        <v>29</v>
      </c>
      <c r="B32" s="15">
        <v>521917.02799999999</v>
      </c>
      <c r="C32" s="16">
        <f t="shared" si="1"/>
        <v>144976952.22222224</v>
      </c>
      <c r="D32" s="3" t="s">
        <v>14</v>
      </c>
      <c r="E32" s="15"/>
      <c r="F32" s="16"/>
      <c r="G32" s="3"/>
      <c r="H32" s="15">
        <v>3285769.9000000004</v>
      </c>
      <c r="I32" s="17">
        <f>(H32/3.6)*1000</f>
        <v>912713861.11111128</v>
      </c>
    </row>
    <row r="33" spans="1:10">
      <c r="A33" s="8">
        <f t="shared" si="0"/>
        <v>30</v>
      </c>
      <c r="B33" s="15">
        <v>851214.31299999997</v>
      </c>
      <c r="C33" s="16">
        <f t="shared" si="1"/>
        <v>236448420.27777776</v>
      </c>
      <c r="D33" s="3" t="s">
        <v>14</v>
      </c>
      <c r="E33" s="15">
        <v>3147242</v>
      </c>
      <c r="F33" s="16">
        <f>(E33/3.6)*1000</f>
        <v>874233888.88888884</v>
      </c>
      <c r="G33" s="3" t="s">
        <v>14</v>
      </c>
      <c r="H33" s="15">
        <v>2746762.7953645508</v>
      </c>
      <c r="I33" s="17">
        <f>(H33/3.6)*1000</f>
        <v>762989665.37904191</v>
      </c>
    </row>
    <row r="34" spans="1:10">
      <c r="A34" s="8">
        <f t="shared" si="0"/>
        <v>31</v>
      </c>
      <c r="B34" s="15">
        <v>613265.12899999996</v>
      </c>
      <c r="C34" s="16">
        <f t="shared" si="1"/>
        <v>170351424.72222221</v>
      </c>
      <c r="D34" s="3" t="s">
        <v>14</v>
      </c>
      <c r="E34" s="15"/>
      <c r="F34" s="16"/>
      <c r="G34" s="3"/>
      <c r="H34" s="15">
        <v>4661687.1000000006</v>
      </c>
      <c r="I34" s="17">
        <f>(H34/3.6)*1000</f>
        <v>1294913083.3333335</v>
      </c>
    </row>
    <row r="35" spans="1:10">
      <c r="A35" s="51"/>
      <c r="B35" s="25"/>
      <c r="C35" s="25"/>
      <c r="D35" s="26"/>
      <c r="E35" s="25"/>
      <c r="F35" s="25"/>
      <c r="G35" s="26"/>
      <c r="H35" s="25"/>
      <c r="I35" s="25"/>
    </row>
    <row r="36" spans="1:10" ht="21.6" customHeight="1">
      <c r="A36" s="7" t="s">
        <v>3</v>
      </c>
      <c r="B36" s="163" t="s">
        <v>17</v>
      </c>
      <c r="C36" s="163"/>
      <c r="D36" s="163"/>
      <c r="E36" s="164"/>
      <c r="F36" s="164"/>
      <c r="G36" s="164"/>
      <c r="H36" s="164"/>
      <c r="I36" s="85"/>
      <c r="J36" s="85"/>
    </row>
    <row r="37" spans="1:10" ht="21.6" customHeight="1">
      <c r="A37" s="7" t="s">
        <v>4</v>
      </c>
      <c r="B37" s="165" t="s">
        <v>13</v>
      </c>
      <c r="C37" s="165"/>
      <c r="D37" s="165"/>
      <c r="E37" s="165"/>
      <c r="F37" s="165"/>
      <c r="G37" s="165"/>
      <c r="H37" s="165"/>
      <c r="I37" s="82"/>
      <c r="J37" s="85"/>
    </row>
    <row r="38" spans="1:10" ht="21.6" customHeight="1">
      <c r="A38" s="7" t="s">
        <v>5</v>
      </c>
      <c r="B38" s="165" t="s">
        <v>18</v>
      </c>
      <c r="C38" s="165"/>
      <c r="D38" s="165"/>
      <c r="E38" s="166"/>
      <c r="F38" s="166"/>
      <c r="G38" s="166"/>
      <c r="H38" s="166"/>
      <c r="I38" s="83"/>
      <c r="J38" s="83"/>
    </row>
    <row r="39" spans="1:10" ht="21.6" customHeight="1">
      <c r="A39" s="7" t="s">
        <v>6</v>
      </c>
      <c r="B39" s="165" t="s">
        <v>0</v>
      </c>
      <c r="C39" s="165"/>
      <c r="D39" s="165"/>
      <c r="E39" s="165"/>
      <c r="F39" s="165"/>
      <c r="G39" s="165"/>
      <c r="H39" s="165"/>
      <c r="I39" s="82"/>
      <c r="J39" s="83"/>
    </row>
    <row r="40" spans="1:10" ht="21.6" customHeight="1">
      <c r="A40" s="7" t="s">
        <v>7</v>
      </c>
      <c r="B40" s="165" t="s">
        <v>16</v>
      </c>
      <c r="C40" s="165"/>
      <c r="D40" s="165"/>
      <c r="E40" s="166"/>
      <c r="F40" s="166"/>
      <c r="G40" s="166"/>
      <c r="H40" s="166"/>
      <c r="I40" s="83"/>
      <c r="J40" s="4"/>
    </row>
    <row r="41" spans="1:10" ht="21.6" customHeight="1">
      <c r="A41" s="28" t="s">
        <v>19</v>
      </c>
      <c r="B41" s="149" t="s">
        <v>20</v>
      </c>
      <c r="C41" s="150"/>
      <c r="D41" s="150"/>
      <c r="E41" s="150"/>
      <c r="F41" s="150"/>
      <c r="G41" s="150"/>
      <c r="H41" s="150"/>
      <c r="I41" s="84"/>
      <c r="J41" s="6"/>
    </row>
    <row r="42" spans="1:10" ht="21.6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10" ht="21.6" customHeight="1">
      <c r="A43" s="1"/>
      <c r="B43" s="1"/>
      <c r="C43" s="1"/>
      <c r="D43" s="1"/>
      <c r="E43" s="1"/>
      <c r="F43" s="1"/>
      <c r="G43" s="1"/>
      <c r="H43" s="1"/>
      <c r="I43" s="1"/>
    </row>
    <row r="44" spans="1:10" ht="21.6" customHeight="1">
      <c r="A44" s="1"/>
      <c r="B44" s="1"/>
      <c r="C44" s="1"/>
      <c r="D44" s="1"/>
      <c r="E44" s="1"/>
      <c r="F44" s="1"/>
      <c r="G44" s="1"/>
      <c r="H44" s="1"/>
      <c r="I44" s="1"/>
    </row>
  </sheetData>
  <mergeCells count="13">
    <mergeCell ref="B41:H41"/>
    <mergeCell ref="A1:I1"/>
    <mergeCell ref="A2:A3"/>
    <mergeCell ref="B2:C2"/>
    <mergeCell ref="D2:D3"/>
    <mergeCell ref="E2:F2"/>
    <mergeCell ref="G2:G3"/>
    <mergeCell ref="H2:I2"/>
    <mergeCell ref="B36:H36"/>
    <mergeCell ref="B37:H37"/>
    <mergeCell ref="B38:H38"/>
    <mergeCell ref="B39:H39"/>
    <mergeCell ref="B40:H40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6" zoomScaleNormal="100" workbookViewId="0">
      <selection activeCell="E33" sqref="E33"/>
    </sheetView>
  </sheetViews>
  <sheetFormatPr defaultRowHeight="12.75"/>
  <cols>
    <col min="1" max="1" width="10.140625" customWidth="1"/>
    <col min="2" max="2" width="16.85546875" customWidth="1"/>
    <col min="3" max="3" width="16.5703125" customWidth="1"/>
    <col min="4" max="4" width="19.85546875" customWidth="1"/>
    <col min="5" max="6" width="17.140625" customWidth="1"/>
    <col min="7" max="7" width="19.85546875" customWidth="1"/>
    <col min="8" max="8" width="16.85546875" customWidth="1"/>
    <col min="9" max="9" width="17.140625" customWidth="1"/>
  </cols>
  <sheetData>
    <row r="1" spans="1:9" ht="51" customHeight="1" thickBot="1">
      <c r="A1" s="151" t="s">
        <v>34</v>
      </c>
      <c r="B1" s="151"/>
      <c r="C1" s="151"/>
      <c r="D1" s="151"/>
      <c r="E1" s="151"/>
      <c r="F1" s="151"/>
      <c r="G1" s="151"/>
      <c r="H1" s="151"/>
      <c r="I1" s="151"/>
    </row>
    <row r="2" spans="1:9">
      <c r="A2" s="152" t="s">
        <v>11</v>
      </c>
      <c r="B2" s="153" t="s">
        <v>2</v>
      </c>
      <c r="C2" s="154"/>
      <c r="D2" s="155" t="s">
        <v>12</v>
      </c>
      <c r="E2" s="157" t="s">
        <v>8</v>
      </c>
      <c r="F2" s="158"/>
      <c r="G2" s="159" t="s">
        <v>9</v>
      </c>
      <c r="H2" s="161" t="s">
        <v>10</v>
      </c>
      <c r="I2" s="162"/>
    </row>
    <row r="3" spans="1:9">
      <c r="A3" s="152"/>
      <c r="B3" s="5" t="s">
        <v>1</v>
      </c>
      <c r="C3" s="10" t="s">
        <v>29</v>
      </c>
      <c r="D3" s="156"/>
      <c r="E3" s="2" t="s">
        <v>1</v>
      </c>
      <c r="F3" s="11" t="s">
        <v>29</v>
      </c>
      <c r="G3" s="160"/>
      <c r="H3" s="12" t="s">
        <v>1</v>
      </c>
      <c r="I3" s="13" t="s">
        <v>29</v>
      </c>
    </row>
    <row r="4" spans="1:9">
      <c r="A4" s="8">
        <v>1</v>
      </c>
      <c r="B4" s="15">
        <v>514427.299</v>
      </c>
      <c r="C4" s="16">
        <f>(B4/3.6)*1000</f>
        <v>142896471.94444445</v>
      </c>
      <c r="D4" s="3" t="s">
        <v>14</v>
      </c>
      <c r="E4" s="15"/>
      <c r="F4" s="16"/>
      <c r="G4" s="3"/>
      <c r="H4" s="15">
        <v>4429580</v>
      </c>
      <c r="I4" s="17">
        <f>(H4/3.6)*1000</f>
        <v>1230438888.8888888</v>
      </c>
    </row>
    <row r="5" spans="1:9">
      <c r="A5" s="8">
        <f>A4+1</f>
        <v>2</v>
      </c>
      <c r="B5" s="15">
        <v>712443.36699999997</v>
      </c>
      <c r="C5" s="16">
        <f t="shared" ref="C5:C6" si="0">(B5/3.6)*1000</f>
        <v>197900935.27777776</v>
      </c>
      <c r="D5" s="3" t="s">
        <v>14</v>
      </c>
      <c r="E5" s="15"/>
      <c r="F5" s="16"/>
      <c r="G5" s="3"/>
      <c r="H5" s="15">
        <v>3916741.6039912109</v>
      </c>
      <c r="I5" s="17">
        <f t="shared" ref="I5:I34" si="1">(H5/3.6)*1000</f>
        <v>1087983778.8864474</v>
      </c>
    </row>
    <row r="6" spans="1:9">
      <c r="A6" s="8">
        <f>A5+1</f>
        <v>3</v>
      </c>
      <c r="B6" s="15">
        <v>712734.84199999995</v>
      </c>
      <c r="C6" s="16">
        <f t="shared" si="0"/>
        <v>197981900.55555552</v>
      </c>
      <c r="D6" s="3" t="s">
        <v>14</v>
      </c>
      <c r="E6" s="15"/>
      <c r="F6" s="16"/>
      <c r="G6" s="3"/>
      <c r="H6" s="15">
        <v>3189069.889714356</v>
      </c>
      <c r="I6" s="17">
        <f t="shared" si="1"/>
        <v>885852747.14287663</v>
      </c>
    </row>
    <row r="7" spans="1:9">
      <c r="A7" s="8">
        <f t="shared" ref="A7:A34" si="2">A6+1</f>
        <v>4</v>
      </c>
      <c r="B7" s="15">
        <v>594148.11300000001</v>
      </c>
      <c r="C7" s="16">
        <f t="shared" ref="C7" si="3">(B7/3.6)*1000</f>
        <v>165041142.5</v>
      </c>
      <c r="D7" s="3" t="s">
        <v>14</v>
      </c>
      <c r="E7" s="15">
        <v>3406906.1940000001</v>
      </c>
      <c r="F7" s="16">
        <f>(E7/3.6)*1000</f>
        <v>946362831.66666663</v>
      </c>
      <c r="G7" s="3" t="s">
        <v>14</v>
      </c>
      <c r="H7" s="15">
        <v>2469165.5</v>
      </c>
      <c r="I7" s="17">
        <f t="shared" si="1"/>
        <v>685879305.55555546</v>
      </c>
    </row>
    <row r="8" spans="1:9">
      <c r="A8" s="8">
        <f t="shared" si="2"/>
        <v>5</v>
      </c>
      <c r="B8" s="15">
        <f>593392217/1000</f>
        <v>593392.21699999995</v>
      </c>
      <c r="C8" s="16">
        <f t="shared" ref="C8:C9" si="4">(B8/3.6)*1000</f>
        <v>164831171.38888887</v>
      </c>
      <c r="D8" s="3" t="s">
        <v>14</v>
      </c>
      <c r="E8" s="15"/>
      <c r="F8" s="16"/>
      <c r="G8" s="3"/>
      <c r="H8" s="15">
        <v>4781083.453067774</v>
      </c>
      <c r="I8" s="17">
        <f t="shared" si="1"/>
        <v>1328078736.9632704</v>
      </c>
    </row>
    <row r="9" spans="1:9">
      <c r="A9" s="8">
        <f t="shared" si="2"/>
        <v>6</v>
      </c>
      <c r="B9" s="15">
        <f>276730693/1000</f>
        <v>276730.69300000003</v>
      </c>
      <c r="C9" s="16">
        <f t="shared" si="4"/>
        <v>76869636.944444463</v>
      </c>
      <c r="D9" s="3" t="s">
        <v>14</v>
      </c>
      <c r="E9" s="15"/>
      <c r="F9" s="16"/>
      <c r="G9" s="3"/>
      <c r="H9" s="15">
        <v>4690484.5635500001</v>
      </c>
      <c r="I9" s="17">
        <f t="shared" si="1"/>
        <v>1302912378.7638891</v>
      </c>
    </row>
    <row r="10" spans="1:9">
      <c r="A10" s="8">
        <f t="shared" si="2"/>
        <v>7</v>
      </c>
      <c r="B10" s="15">
        <v>586243.522</v>
      </c>
      <c r="C10" s="16">
        <f t="shared" ref="C10:C13" si="5">(B10/3.6)*1000</f>
        <v>162845422.77777776</v>
      </c>
      <c r="D10" s="3" t="s">
        <v>14</v>
      </c>
      <c r="E10" s="15"/>
      <c r="F10" s="16"/>
      <c r="G10" s="3"/>
      <c r="H10" s="15">
        <v>4412306.767084375</v>
      </c>
      <c r="I10" s="17">
        <f t="shared" si="1"/>
        <v>1225640768.6345487</v>
      </c>
    </row>
    <row r="11" spans="1:9">
      <c r="A11" s="8">
        <f t="shared" si="2"/>
        <v>8</v>
      </c>
      <c r="B11" s="15">
        <f>356225065/1000</f>
        <v>356225.065</v>
      </c>
      <c r="C11" s="16">
        <f t="shared" si="5"/>
        <v>98951406.944444448</v>
      </c>
      <c r="D11" s="3" t="s">
        <v>14</v>
      </c>
      <c r="E11" s="15"/>
      <c r="F11" s="16"/>
      <c r="G11" s="3"/>
      <c r="H11" s="15">
        <v>3807751.8000000003</v>
      </c>
      <c r="I11" s="17">
        <f t="shared" si="1"/>
        <v>1057708833.3333335</v>
      </c>
    </row>
    <row r="12" spans="1:9">
      <c r="A12" s="8">
        <f t="shared" si="2"/>
        <v>9</v>
      </c>
      <c r="B12" s="15">
        <f>514933558/1000</f>
        <v>514933.55800000002</v>
      </c>
      <c r="C12" s="16">
        <f t="shared" si="5"/>
        <v>143037099.44444445</v>
      </c>
      <c r="D12" s="3" t="s">
        <v>14</v>
      </c>
      <c r="E12" s="15"/>
      <c r="F12" s="16"/>
      <c r="G12" s="3"/>
      <c r="H12" s="15">
        <v>3454494</v>
      </c>
      <c r="I12" s="17">
        <f t="shared" si="1"/>
        <v>959581666.66666663</v>
      </c>
    </row>
    <row r="13" spans="1:9">
      <c r="A13" s="8">
        <f t="shared" si="2"/>
        <v>10</v>
      </c>
      <c r="B13" s="15">
        <f>455129664/1000</f>
        <v>455129.66399999999</v>
      </c>
      <c r="C13" s="16">
        <f t="shared" si="5"/>
        <v>126424906.66666666</v>
      </c>
      <c r="D13" s="3" t="s">
        <v>14</v>
      </c>
      <c r="E13" s="15"/>
      <c r="F13" s="16"/>
      <c r="G13" s="3"/>
      <c r="H13" s="15">
        <v>2929234.5</v>
      </c>
      <c r="I13" s="17">
        <f t="shared" si="1"/>
        <v>813676250</v>
      </c>
    </row>
    <row r="14" spans="1:9">
      <c r="A14" s="8">
        <f t="shared" si="2"/>
        <v>11</v>
      </c>
      <c r="B14" s="15">
        <v>475237.28</v>
      </c>
      <c r="C14" s="16">
        <f t="shared" ref="C14:C16" si="6">(B14/3.6)*1000</f>
        <v>132010355.55555555</v>
      </c>
      <c r="D14" s="3" t="s">
        <v>14</v>
      </c>
      <c r="E14" s="15"/>
      <c r="F14" s="16"/>
      <c r="G14" s="3"/>
      <c r="H14" s="15">
        <v>2473479.4000000004</v>
      </c>
      <c r="I14" s="17">
        <f t="shared" si="1"/>
        <v>687077611.11111128</v>
      </c>
    </row>
    <row r="15" spans="1:9">
      <c r="A15" s="8">
        <f t="shared" si="2"/>
        <v>12</v>
      </c>
      <c r="B15" s="15">
        <f>554896300/1000</f>
        <v>554896.30000000005</v>
      </c>
      <c r="C15" s="16">
        <f t="shared" si="6"/>
        <v>154137861.11111113</v>
      </c>
      <c r="D15" s="3" t="s">
        <v>14</v>
      </c>
      <c r="E15" s="15">
        <v>3454666.8990000002</v>
      </c>
      <c r="F15" s="16">
        <f>(E15/3.6)*1000</f>
        <v>959629694.16666675</v>
      </c>
      <c r="G15" s="3" t="s">
        <v>14</v>
      </c>
      <c r="H15" s="15">
        <v>1989671.9000000001</v>
      </c>
      <c r="I15" s="17">
        <f t="shared" si="1"/>
        <v>552686638.88888884</v>
      </c>
    </row>
    <row r="16" spans="1:9">
      <c r="A16" s="8">
        <f t="shared" si="2"/>
        <v>13</v>
      </c>
      <c r="B16" s="15">
        <f>633721106/1000</f>
        <v>633721.10600000003</v>
      </c>
      <c r="C16" s="16">
        <f t="shared" si="6"/>
        <v>176033640.55555555</v>
      </c>
      <c r="D16" s="3" t="s">
        <v>14</v>
      </c>
      <c r="E16" s="15"/>
      <c r="F16" s="16"/>
      <c r="G16" s="3"/>
      <c r="H16" s="15">
        <v>4593773.3</v>
      </c>
      <c r="I16" s="17">
        <f t="shared" si="1"/>
        <v>1276048138.8888888</v>
      </c>
    </row>
    <row r="17" spans="1:9">
      <c r="A17" s="8">
        <f t="shared" si="2"/>
        <v>14</v>
      </c>
      <c r="B17" s="15">
        <f>752594232/1000</f>
        <v>752594.23199999996</v>
      </c>
      <c r="C17" s="16">
        <f>(B17/3.6)*1000</f>
        <v>209053953.33333331</v>
      </c>
      <c r="D17" s="3" t="s">
        <v>14</v>
      </c>
      <c r="E17" s="15"/>
      <c r="F17" s="16"/>
      <c r="G17" s="3"/>
      <c r="H17" s="15">
        <v>4257172.4665437499</v>
      </c>
      <c r="I17" s="17">
        <f t="shared" si="1"/>
        <v>1182547907.3732638</v>
      </c>
    </row>
    <row r="18" spans="1:9">
      <c r="A18" s="8">
        <f t="shared" si="2"/>
        <v>15</v>
      </c>
      <c r="B18" s="15">
        <f>554238378/1000</f>
        <v>554238.37800000003</v>
      </c>
      <c r="C18" s="16">
        <f t="shared" ref="C18:C34" si="7">(B18/3.6)*1000</f>
        <v>153955105</v>
      </c>
      <c r="D18" s="3" t="s">
        <v>14</v>
      </c>
      <c r="E18" s="15"/>
      <c r="F18" s="16"/>
      <c r="G18" s="3"/>
      <c r="H18" s="15">
        <v>3501007</v>
      </c>
      <c r="I18" s="17">
        <f t="shared" si="1"/>
        <v>972501944.44444442</v>
      </c>
    </row>
    <row r="19" spans="1:9">
      <c r="A19" s="8">
        <f t="shared" si="2"/>
        <v>16</v>
      </c>
      <c r="B19" s="15">
        <f>593934944/1000</f>
        <v>593934.94400000002</v>
      </c>
      <c r="C19" s="16">
        <f t="shared" si="7"/>
        <v>164981928.8888889</v>
      </c>
      <c r="D19" s="3" t="s">
        <v>14</v>
      </c>
      <c r="E19" s="15"/>
      <c r="F19" s="16"/>
      <c r="G19" s="3"/>
      <c r="H19" s="15">
        <v>2946755.2</v>
      </c>
      <c r="I19" s="17">
        <f t="shared" si="1"/>
        <v>818543111.11111116</v>
      </c>
    </row>
    <row r="20" spans="1:9">
      <c r="A20" s="8">
        <f t="shared" si="2"/>
        <v>17</v>
      </c>
      <c r="B20" s="15">
        <f>594613173/1000</f>
        <v>594613.17299999995</v>
      </c>
      <c r="C20" s="16">
        <f t="shared" si="7"/>
        <v>165170325.83333331</v>
      </c>
      <c r="D20" s="3" t="s">
        <v>14</v>
      </c>
      <c r="E20" s="15"/>
      <c r="F20" s="16"/>
      <c r="G20" s="3"/>
      <c r="H20" s="15">
        <v>2340549.8315898441</v>
      </c>
      <c r="I20" s="17">
        <f t="shared" si="1"/>
        <v>650152730.99717891</v>
      </c>
    </row>
    <row r="21" spans="1:9">
      <c r="A21" s="8">
        <f t="shared" si="2"/>
        <v>18</v>
      </c>
      <c r="B21" s="15">
        <f>713089479/1000</f>
        <v>713089.47900000005</v>
      </c>
      <c r="C21" s="16">
        <f t="shared" si="7"/>
        <v>198080410.83333331</v>
      </c>
      <c r="D21" s="3" t="s">
        <v>14</v>
      </c>
      <c r="E21" s="15">
        <v>3408579.284</v>
      </c>
      <c r="F21" s="16">
        <f>(E21/3.6)*1000</f>
        <v>946827578.88888884</v>
      </c>
      <c r="G21" s="3" t="s">
        <v>14</v>
      </c>
      <c r="H21" s="15">
        <v>1742333.6</v>
      </c>
      <c r="I21" s="17">
        <f t="shared" si="1"/>
        <v>483981555.55555558</v>
      </c>
    </row>
    <row r="22" spans="1:9">
      <c r="A22" s="8">
        <f t="shared" si="2"/>
        <v>19</v>
      </c>
      <c r="B22" s="15">
        <f>850789490/1000</f>
        <v>850789.49</v>
      </c>
      <c r="C22" s="16">
        <f t="shared" si="7"/>
        <v>236330413.88888887</v>
      </c>
      <c r="D22" s="3" t="s">
        <v>14</v>
      </c>
      <c r="E22" s="15"/>
      <c r="F22" s="16"/>
      <c r="G22" s="3"/>
      <c r="H22" s="15">
        <v>3420848.2699742187</v>
      </c>
      <c r="I22" s="17">
        <f t="shared" si="1"/>
        <v>950235630.54839408</v>
      </c>
    </row>
    <row r="23" spans="1:9">
      <c r="A23" s="8">
        <f t="shared" si="2"/>
        <v>20</v>
      </c>
      <c r="B23" s="15">
        <f>811862366/1000</f>
        <v>811862.36600000004</v>
      </c>
      <c r="C23" s="16">
        <f t="shared" si="7"/>
        <v>225517323.8888889</v>
      </c>
      <c r="D23" s="3" t="s">
        <v>14</v>
      </c>
      <c r="E23" s="15"/>
      <c r="F23" s="16"/>
      <c r="G23" s="3"/>
      <c r="H23" s="15">
        <v>3581742</v>
      </c>
      <c r="I23" s="17">
        <f t="shared" si="1"/>
        <v>994928333.33333325</v>
      </c>
    </row>
    <row r="24" spans="1:9">
      <c r="A24" s="8">
        <f t="shared" si="2"/>
        <v>21</v>
      </c>
      <c r="B24" s="15">
        <f>653051035/1000</f>
        <v>653051.03500000003</v>
      </c>
      <c r="C24" s="16">
        <f t="shared" si="7"/>
        <v>181403065.27777779</v>
      </c>
      <c r="D24" s="3" t="s">
        <v>14</v>
      </c>
      <c r="E24" s="15"/>
      <c r="F24" s="16"/>
      <c r="G24" s="3"/>
      <c r="H24" s="15">
        <v>2759635.5992777348</v>
      </c>
      <c r="I24" s="17">
        <f t="shared" si="1"/>
        <v>766565444.24381518</v>
      </c>
    </row>
    <row r="25" spans="1:9">
      <c r="A25" s="8">
        <f t="shared" si="2"/>
        <v>22</v>
      </c>
      <c r="B25" s="15">
        <f>851752087/1000</f>
        <v>851752.08700000006</v>
      </c>
      <c r="C25" s="16">
        <f t="shared" si="7"/>
        <v>236597801.94444445</v>
      </c>
      <c r="D25" s="3" t="s">
        <v>14</v>
      </c>
      <c r="E25" s="15">
        <v>3320494.0380000002</v>
      </c>
      <c r="F25" s="16">
        <f>(E25/3.6)*1000</f>
        <v>922359455.00000012</v>
      </c>
      <c r="G25" s="3" t="s">
        <v>14</v>
      </c>
      <c r="H25" s="15">
        <v>2105038.6</v>
      </c>
      <c r="I25" s="17">
        <f t="shared" si="1"/>
        <v>584732944.44444454</v>
      </c>
    </row>
    <row r="26" spans="1:9">
      <c r="A26" s="8">
        <f t="shared" si="2"/>
        <v>23</v>
      </c>
      <c r="B26" s="15">
        <f>791777356/1000</f>
        <v>791777.35600000003</v>
      </c>
      <c r="C26" s="16">
        <f t="shared" si="7"/>
        <v>219938154.44444445</v>
      </c>
      <c r="D26" s="3" t="s">
        <v>14</v>
      </c>
      <c r="E26" s="15"/>
      <c r="F26" s="16"/>
      <c r="G26" s="3"/>
      <c r="H26" s="15">
        <v>1806657.2988538088</v>
      </c>
      <c r="I26" s="17">
        <f t="shared" si="1"/>
        <v>501849249.6816135</v>
      </c>
    </row>
    <row r="27" spans="1:9">
      <c r="A27" s="8">
        <f t="shared" si="2"/>
        <v>24</v>
      </c>
      <c r="B27" s="15">
        <f>513932887/1000</f>
        <v>513932.88699999999</v>
      </c>
      <c r="C27" s="16">
        <f t="shared" si="7"/>
        <v>142759135.27777776</v>
      </c>
      <c r="D27" s="3" t="s">
        <v>14</v>
      </c>
      <c r="E27" s="15"/>
      <c r="F27" s="16"/>
      <c r="G27" s="3"/>
      <c r="H27" s="15">
        <v>3783684.3436138676</v>
      </c>
      <c r="I27" s="17">
        <f t="shared" si="1"/>
        <v>1051023428.7816298</v>
      </c>
    </row>
    <row r="28" spans="1:9">
      <c r="A28" s="8">
        <f t="shared" si="2"/>
        <v>25</v>
      </c>
      <c r="B28" s="15">
        <f>791315548/1000</f>
        <v>791315.54799999995</v>
      </c>
      <c r="C28" s="16">
        <f t="shared" si="7"/>
        <v>219809874.44444442</v>
      </c>
      <c r="D28" s="3" t="s">
        <v>14</v>
      </c>
      <c r="E28" s="15"/>
      <c r="F28" s="16"/>
      <c r="G28" s="3"/>
      <c r="H28" s="15">
        <v>3263591.7575360355</v>
      </c>
      <c r="I28" s="17">
        <f t="shared" si="1"/>
        <v>906553265.98223209</v>
      </c>
    </row>
    <row r="29" spans="1:9">
      <c r="A29" s="8">
        <f t="shared" si="2"/>
        <v>26</v>
      </c>
      <c r="B29" s="15">
        <f>851856646/1000</f>
        <v>851856.64599999995</v>
      </c>
      <c r="C29" s="16">
        <f t="shared" si="7"/>
        <v>236626846.11111107</v>
      </c>
      <c r="D29" s="3" t="s">
        <v>14</v>
      </c>
      <c r="H29" s="15">
        <v>2460869.8681583009</v>
      </c>
      <c r="I29" s="17">
        <f t="shared" si="1"/>
        <v>683574963.37730575</v>
      </c>
    </row>
    <row r="30" spans="1:9">
      <c r="A30" s="8">
        <f t="shared" si="2"/>
        <v>27</v>
      </c>
      <c r="B30" s="15">
        <f>850990920/1000</f>
        <v>850990.92</v>
      </c>
      <c r="C30" s="16">
        <f t="shared" si="7"/>
        <v>236386366.66666666</v>
      </c>
      <c r="D30" s="3" t="s">
        <v>14</v>
      </c>
      <c r="E30" s="15">
        <v>3448778.3319999999</v>
      </c>
      <c r="F30" s="16">
        <f>(E30/3.6)*1000</f>
        <v>957993981.11111116</v>
      </c>
      <c r="G30" s="3" t="s">
        <v>14</v>
      </c>
      <c r="H30" s="15">
        <v>1597830</v>
      </c>
      <c r="I30" s="17">
        <f t="shared" si="1"/>
        <v>443841666.66666663</v>
      </c>
    </row>
    <row r="31" spans="1:9">
      <c r="A31" s="8">
        <f t="shared" si="2"/>
        <v>28</v>
      </c>
      <c r="B31" s="15">
        <f>851275050/1000</f>
        <v>851275.05</v>
      </c>
      <c r="C31" s="16">
        <f t="shared" si="7"/>
        <v>236465291.66666669</v>
      </c>
      <c r="D31" s="3" t="s">
        <v>14</v>
      </c>
      <c r="E31" s="15"/>
      <c r="F31" s="16"/>
      <c r="G31" s="3"/>
      <c r="H31" s="15">
        <v>4205546.4000000004</v>
      </c>
      <c r="I31" s="17">
        <f t="shared" si="1"/>
        <v>1168207333.3333335</v>
      </c>
    </row>
    <row r="32" spans="1:9">
      <c r="A32" s="8">
        <f t="shared" si="2"/>
        <v>29</v>
      </c>
      <c r="B32" s="15">
        <f>851108448/1000</f>
        <v>851108.44799999997</v>
      </c>
      <c r="C32" s="16">
        <f t="shared" si="7"/>
        <v>236419013.33333331</v>
      </c>
      <c r="D32" s="3" t="s">
        <v>14</v>
      </c>
      <c r="E32" s="15"/>
      <c r="F32" s="16"/>
      <c r="G32" s="3"/>
      <c r="H32" s="15">
        <v>3342983.3000000003</v>
      </c>
      <c r="I32" s="17">
        <f t="shared" si="1"/>
        <v>928606472.22222221</v>
      </c>
    </row>
    <row r="33" spans="1:10">
      <c r="A33" s="8">
        <f t="shared" si="2"/>
        <v>30</v>
      </c>
      <c r="B33" s="15">
        <f>752093089/1000</f>
        <v>752093.08900000004</v>
      </c>
      <c r="C33" s="16">
        <f t="shared" si="7"/>
        <v>208914746.94444445</v>
      </c>
      <c r="D33" s="3" t="s">
        <v>14</v>
      </c>
      <c r="E33" s="15">
        <v>3324258.14</v>
      </c>
      <c r="F33" s="16">
        <f>(E33/3.6)*1000</f>
        <v>923405038.88888896</v>
      </c>
      <c r="G33" s="3" t="s">
        <v>14</v>
      </c>
      <c r="H33" s="15">
        <v>2490469.9000000004</v>
      </c>
      <c r="I33" s="17">
        <f t="shared" si="1"/>
        <v>691797194.44444454</v>
      </c>
    </row>
    <row r="34" spans="1:10">
      <c r="A34" s="8">
        <f t="shared" si="2"/>
        <v>31</v>
      </c>
      <c r="B34" s="15">
        <f>652528912/1000</f>
        <v>652528.91200000001</v>
      </c>
      <c r="C34" s="16">
        <f t="shared" si="7"/>
        <v>181258031.1111111</v>
      </c>
      <c r="D34" s="3" t="s">
        <v>14</v>
      </c>
      <c r="E34" s="15"/>
      <c r="F34" s="16"/>
      <c r="G34" s="3"/>
      <c r="H34" s="15">
        <v>1732524.9000000001</v>
      </c>
      <c r="I34" s="17">
        <f t="shared" si="1"/>
        <v>481256916.66666669</v>
      </c>
    </row>
    <row r="35" spans="1:10">
      <c r="A35" s="51"/>
      <c r="B35" s="25"/>
      <c r="C35" s="25"/>
      <c r="D35" s="26"/>
      <c r="E35" s="25"/>
      <c r="F35" s="25"/>
      <c r="G35" s="26"/>
      <c r="H35" s="25"/>
      <c r="I35" s="25"/>
    </row>
    <row r="36" spans="1:10" ht="21.6" customHeight="1">
      <c r="A36" s="7" t="s">
        <v>3</v>
      </c>
      <c r="B36" s="163" t="s">
        <v>17</v>
      </c>
      <c r="C36" s="163"/>
      <c r="D36" s="163"/>
      <c r="E36" s="164"/>
      <c r="F36" s="164"/>
      <c r="G36" s="164"/>
      <c r="H36" s="164"/>
      <c r="I36" s="89"/>
      <c r="J36" s="89"/>
    </row>
    <row r="37" spans="1:10" ht="21.6" customHeight="1">
      <c r="A37" s="7" t="s">
        <v>4</v>
      </c>
      <c r="B37" s="165" t="s">
        <v>13</v>
      </c>
      <c r="C37" s="165"/>
      <c r="D37" s="165"/>
      <c r="E37" s="165"/>
      <c r="F37" s="165"/>
      <c r="G37" s="165"/>
      <c r="H37" s="165"/>
      <c r="I37" s="86"/>
      <c r="J37" s="89"/>
    </row>
    <row r="38" spans="1:10" ht="21.6" customHeight="1">
      <c r="A38" s="7" t="s">
        <v>5</v>
      </c>
      <c r="B38" s="165" t="s">
        <v>18</v>
      </c>
      <c r="C38" s="165"/>
      <c r="D38" s="165"/>
      <c r="E38" s="166"/>
      <c r="F38" s="166"/>
      <c r="G38" s="166"/>
      <c r="H38" s="166"/>
      <c r="I38" s="87"/>
      <c r="J38" s="87"/>
    </row>
    <row r="39" spans="1:10" ht="21.6" customHeight="1">
      <c r="A39" s="7" t="s">
        <v>6</v>
      </c>
      <c r="B39" s="165" t="s">
        <v>0</v>
      </c>
      <c r="C39" s="165"/>
      <c r="D39" s="165"/>
      <c r="E39" s="165"/>
      <c r="F39" s="165"/>
      <c r="G39" s="165"/>
      <c r="H39" s="165"/>
      <c r="I39" s="86"/>
      <c r="J39" s="87"/>
    </row>
    <row r="40" spans="1:10" ht="21.6" customHeight="1">
      <c r="A40" s="7" t="s">
        <v>7</v>
      </c>
      <c r="B40" s="165" t="s">
        <v>16</v>
      </c>
      <c r="C40" s="165"/>
      <c r="D40" s="165"/>
      <c r="E40" s="166"/>
      <c r="F40" s="166"/>
      <c r="G40" s="166"/>
      <c r="H40" s="166"/>
      <c r="I40" s="87"/>
      <c r="J40" s="4"/>
    </row>
    <row r="41" spans="1:10" ht="21.6" customHeight="1">
      <c r="A41" s="28" t="s">
        <v>19</v>
      </c>
      <c r="B41" s="149" t="s">
        <v>20</v>
      </c>
      <c r="C41" s="150"/>
      <c r="D41" s="150"/>
      <c r="E41" s="150"/>
      <c r="F41" s="150"/>
      <c r="G41" s="150"/>
      <c r="H41" s="150"/>
      <c r="I41" s="88"/>
      <c r="J41" s="6"/>
    </row>
    <row r="42" spans="1:10" ht="21.6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10" ht="21.6" customHeight="1">
      <c r="A43" s="1"/>
      <c r="B43" s="1"/>
      <c r="C43" s="1"/>
      <c r="D43" s="1"/>
      <c r="E43" s="1"/>
      <c r="F43" s="1"/>
      <c r="G43" s="1"/>
      <c r="H43" s="1"/>
      <c r="I43" s="1"/>
    </row>
    <row r="44" spans="1:10" ht="21.6" customHeight="1">
      <c r="A44" s="1"/>
      <c r="B44" s="1"/>
      <c r="C44" s="1"/>
      <c r="D44" s="1"/>
      <c r="E44" s="1"/>
      <c r="F44" s="1"/>
      <c r="G44" s="1"/>
      <c r="H44" s="1"/>
      <c r="I44" s="1"/>
    </row>
  </sheetData>
  <mergeCells count="13">
    <mergeCell ref="B41:H41"/>
    <mergeCell ref="A1:I1"/>
    <mergeCell ref="A2:A3"/>
    <mergeCell ref="B2:C2"/>
    <mergeCell ref="D2:D3"/>
    <mergeCell ref="E2:F2"/>
    <mergeCell ref="G2:G3"/>
    <mergeCell ref="H2:I2"/>
    <mergeCell ref="B36:H36"/>
    <mergeCell ref="B37:H37"/>
    <mergeCell ref="B38:H38"/>
    <mergeCell ref="B39:H39"/>
    <mergeCell ref="B40:H40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F7" sqref="F7"/>
    </sheetView>
  </sheetViews>
  <sheetFormatPr defaultRowHeight="12.75"/>
  <cols>
    <col min="1" max="1" width="10.140625" customWidth="1"/>
    <col min="2" max="2" width="16.85546875" customWidth="1"/>
    <col min="3" max="3" width="16.5703125" customWidth="1"/>
    <col min="4" max="4" width="19.85546875" customWidth="1"/>
    <col min="5" max="6" width="17.140625" customWidth="1"/>
    <col min="7" max="7" width="19.85546875" customWidth="1"/>
    <col min="8" max="8" width="16.85546875" customWidth="1"/>
    <col min="9" max="9" width="17.140625" customWidth="1"/>
  </cols>
  <sheetData>
    <row r="1" spans="1:9" ht="64.150000000000006" customHeight="1" thickBot="1">
      <c r="A1" s="151" t="s">
        <v>35</v>
      </c>
      <c r="B1" s="151"/>
      <c r="C1" s="151"/>
      <c r="D1" s="151"/>
      <c r="E1" s="151"/>
      <c r="F1" s="151"/>
      <c r="G1" s="151"/>
      <c r="H1" s="151"/>
      <c r="I1" s="151"/>
    </row>
    <row r="2" spans="1:9">
      <c r="A2" s="168" t="s">
        <v>11</v>
      </c>
      <c r="B2" s="169" t="s">
        <v>2</v>
      </c>
      <c r="C2" s="170"/>
      <c r="D2" s="171" t="s">
        <v>12</v>
      </c>
      <c r="E2" s="173" t="s">
        <v>8</v>
      </c>
      <c r="F2" s="174"/>
      <c r="G2" s="175" t="s">
        <v>9</v>
      </c>
      <c r="H2" s="177" t="s">
        <v>10</v>
      </c>
      <c r="I2" s="178"/>
    </row>
    <row r="3" spans="1:9">
      <c r="A3" s="168"/>
      <c r="B3" s="5" t="s">
        <v>1</v>
      </c>
      <c r="C3" s="10" t="s">
        <v>29</v>
      </c>
      <c r="D3" s="172"/>
      <c r="E3" s="2" t="s">
        <v>1</v>
      </c>
      <c r="F3" s="11" t="s">
        <v>29</v>
      </c>
      <c r="G3" s="176"/>
      <c r="H3" s="12" t="s">
        <v>1</v>
      </c>
      <c r="I3" s="13" t="s">
        <v>29</v>
      </c>
    </row>
    <row r="4" spans="1:9">
      <c r="A4" s="93">
        <v>1</v>
      </c>
      <c r="B4" s="15">
        <f>850936995/1000</f>
        <v>850936.995</v>
      </c>
      <c r="C4" s="16">
        <f>(B4/3.6)*1000</f>
        <v>236371387.49999997</v>
      </c>
      <c r="D4" s="3" t="s">
        <v>14</v>
      </c>
      <c r="E4" s="15"/>
      <c r="F4" s="16"/>
      <c r="G4" s="3"/>
      <c r="H4" s="15">
        <v>4411456.8</v>
      </c>
      <c r="I4" s="17">
        <f>(H4/3.6)*1000</f>
        <v>1225404666.6666665</v>
      </c>
    </row>
    <row r="5" spans="1:9">
      <c r="A5" s="93">
        <f>A4+1</f>
        <v>2</v>
      </c>
      <c r="B5" s="15">
        <f>851323397/1000</f>
        <v>851323.397</v>
      </c>
      <c r="C5" s="16">
        <f>(B5/3.6)*1000</f>
        <v>236478721.3888889</v>
      </c>
      <c r="D5" s="3" t="s">
        <v>14</v>
      </c>
      <c r="E5" s="15"/>
      <c r="F5" s="16"/>
      <c r="G5" s="3"/>
      <c r="H5" s="15">
        <v>3554243.9000000004</v>
      </c>
      <c r="I5" s="17">
        <f>(H5/3.6)*1000</f>
        <v>987289972.22222221</v>
      </c>
    </row>
    <row r="6" spans="1:9">
      <c r="A6" s="93">
        <f>A5+1</f>
        <v>3</v>
      </c>
      <c r="B6" s="15">
        <f>850025783/1000</f>
        <v>850025.78300000005</v>
      </c>
      <c r="C6" s="16">
        <f>(B6/3.6)*1000</f>
        <v>236118273.05555555</v>
      </c>
      <c r="D6" s="3" t="s">
        <v>14</v>
      </c>
      <c r="E6" s="15"/>
      <c r="F6" s="16"/>
      <c r="G6" s="3"/>
      <c r="H6" s="15">
        <v>2693247.3000000003</v>
      </c>
      <c r="I6" s="17">
        <f>(H6/3.6)*1000</f>
        <v>748124250.00000012</v>
      </c>
    </row>
    <row r="7" spans="1:9">
      <c r="A7" s="93">
        <f t="shared" ref="A7:A32" si="0">A6+1</f>
        <v>4</v>
      </c>
      <c r="B7" s="15">
        <f>851041677/1000</f>
        <v>851041.67700000003</v>
      </c>
      <c r="C7" s="16">
        <f>(B7/3.6)*1000</f>
        <v>236400465.83333331</v>
      </c>
      <c r="D7" s="3" t="s">
        <v>14</v>
      </c>
      <c r="E7" s="15">
        <v>3332206.93</v>
      </c>
      <c r="F7" s="16">
        <f>(E7/3.6)*1000</f>
        <v>925613036.11111116</v>
      </c>
      <c r="G7" s="3" t="s">
        <v>14</v>
      </c>
      <c r="H7" s="15">
        <v>1834010</v>
      </c>
      <c r="I7" s="17">
        <f>(H7/3.6)*1000</f>
        <v>509447222.22222221</v>
      </c>
    </row>
    <row r="8" spans="1:9">
      <c r="A8" s="93">
        <f t="shared" si="0"/>
        <v>5</v>
      </c>
      <c r="B8" s="15">
        <f>850038131/1000</f>
        <v>850038.13100000005</v>
      </c>
      <c r="C8" s="16">
        <f t="shared" ref="C8:C26" si="1">(B8/3.6)*1000</f>
        <v>236121703.05555555</v>
      </c>
      <c r="D8" s="3" t="s">
        <v>14</v>
      </c>
      <c r="E8" s="15"/>
      <c r="F8" s="16"/>
      <c r="G8" s="3"/>
      <c r="H8" s="15">
        <v>2305261.4</v>
      </c>
      <c r="I8" s="17">
        <f t="shared" ref="I8:I26" si="2">(H8/3.6)*1000</f>
        <v>640350388.88888884</v>
      </c>
    </row>
    <row r="9" spans="1:9">
      <c r="A9" s="38">
        <f t="shared" si="0"/>
        <v>6</v>
      </c>
      <c r="B9" s="15">
        <f>593652996/1000</f>
        <v>593652.99600000004</v>
      </c>
      <c r="C9" s="16">
        <f t="shared" si="1"/>
        <v>164903610.00000003</v>
      </c>
      <c r="D9" s="3" t="s">
        <v>14</v>
      </c>
      <c r="E9" s="15"/>
      <c r="F9" s="16"/>
      <c r="G9" s="3"/>
      <c r="H9" s="15">
        <v>3467218.8000000003</v>
      </c>
      <c r="I9" s="17">
        <f t="shared" si="2"/>
        <v>963116333.33333337</v>
      </c>
    </row>
    <row r="10" spans="1:9">
      <c r="A10" s="38">
        <f t="shared" si="0"/>
        <v>7</v>
      </c>
      <c r="B10" s="15">
        <f>573100966/1000</f>
        <v>573100.96600000001</v>
      </c>
      <c r="C10" s="16">
        <f t="shared" si="1"/>
        <v>159194712.77777779</v>
      </c>
      <c r="D10" s="3" t="s">
        <v>14</v>
      </c>
      <c r="E10" s="15">
        <v>3443842.645</v>
      </c>
      <c r="F10" s="16">
        <f>(E10/3.6)*1000</f>
        <v>956622956.94444442</v>
      </c>
      <c r="G10" s="3" t="s">
        <v>14</v>
      </c>
      <c r="H10" s="15">
        <v>2871298.1</v>
      </c>
      <c r="I10" s="17">
        <f t="shared" si="2"/>
        <v>797582805.55555546</v>
      </c>
    </row>
    <row r="11" spans="1:9">
      <c r="A11" s="93">
        <f t="shared" si="0"/>
        <v>8</v>
      </c>
      <c r="B11" s="15">
        <f>851275534/1000</f>
        <v>851275.53399999999</v>
      </c>
      <c r="C11" s="16">
        <f t="shared" si="1"/>
        <v>236465426.1111111</v>
      </c>
      <c r="D11" s="3" t="s">
        <v>14</v>
      </c>
      <c r="E11" s="15"/>
      <c r="F11" s="16"/>
      <c r="G11" s="3"/>
      <c r="H11" s="15">
        <v>2294669.380571289</v>
      </c>
      <c r="I11" s="17">
        <f t="shared" si="2"/>
        <v>637408161.26980245</v>
      </c>
    </row>
    <row r="12" spans="1:9">
      <c r="A12" s="93">
        <f t="shared" si="0"/>
        <v>9</v>
      </c>
      <c r="B12" s="15">
        <f>850535922/1000</f>
        <v>850535.92200000002</v>
      </c>
      <c r="C12" s="16">
        <f t="shared" si="1"/>
        <v>236259978.33333334</v>
      </c>
      <c r="D12" s="3" t="s">
        <v>14</v>
      </c>
      <c r="E12" s="15"/>
      <c r="F12" s="16"/>
      <c r="G12" s="3"/>
      <c r="H12" s="15">
        <v>4176843.3000000003</v>
      </c>
      <c r="I12" s="17">
        <f t="shared" si="2"/>
        <v>1160234250</v>
      </c>
    </row>
    <row r="13" spans="1:9">
      <c r="A13" s="93">
        <f t="shared" si="0"/>
        <v>10</v>
      </c>
      <c r="B13" s="15">
        <f>850256994/1000</f>
        <v>850256.99399999995</v>
      </c>
      <c r="C13" s="16">
        <f t="shared" si="1"/>
        <v>236182498.33333331</v>
      </c>
      <c r="D13" s="3" t="s">
        <v>14</v>
      </c>
      <c r="E13" s="15"/>
      <c r="F13" s="16"/>
      <c r="G13" s="3"/>
      <c r="H13" s="15">
        <v>4033898.6237978521</v>
      </c>
      <c r="I13" s="17">
        <f t="shared" si="2"/>
        <v>1120527395.4994032</v>
      </c>
    </row>
    <row r="14" spans="1:9">
      <c r="A14" s="93">
        <f t="shared" si="0"/>
        <v>11</v>
      </c>
      <c r="B14" s="15">
        <f>851301290/1000</f>
        <v>851301.29</v>
      </c>
      <c r="C14" s="16">
        <f t="shared" si="1"/>
        <v>236472580.55555555</v>
      </c>
      <c r="D14" s="3" t="s">
        <v>14</v>
      </c>
      <c r="E14" s="15"/>
      <c r="F14" s="16"/>
      <c r="G14" s="3"/>
      <c r="H14" s="15">
        <v>3172957.8000000003</v>
      </c>
      <c r="I14" s="17">
        <f t="shared" si="2"/>
        <v>881377166.66666675</v>
      </c>
    </row>
    <row r="15" spans="1:9">
      <c r="A15" s="93">
        <f t="shared" si="0"/>
        <v>12</v>
      </c>
      <c r="B15" s="15">
        <f>851300870/1000</f>
        <v>851300.87</v>
      </c>
      <c r="C15" s="16">
        <f t="shared" si="1"/>
        <v>236472463.8888889</v>
      </c>
      <c r="D15" s="3" t="s">
        <v>14</v>
      </c>
      <c r="E15" s="15">
        <v>3398288.2319999998</v>
      </c>
      <c r="F15" s="16">
        <f>(E15/3.6)*1000</f>
        <v>943968953.33333325</v>
      </c>
      <c r="G15" s="3" t="s">
        <v>14</v>
      </c>
      <c r="H15" s="15">
        <v>2316853.5</v>
      </c>
      <c r="I15" s="17">
        <f t="shared" si="2"/>
        <v>643570416.66666663</v>
      </c>
    </row>
    <row r="16" spans="1:9">
      <c r="A16" s="38">
        <f t="shared" si="0"/>
        <v>13</v>
      </c>
      <c r="B16" s="15">
        <f>790867007/1000</f>
        <v>790867.00699999998</v>
      </c>
      <c r="C16" s="16">
        <f t="shared" si="1"/>
        <v>219685279.72222221</v>
      </c>
      <c r="D16" s="3" t="s">
        <v>14</v>
      </c>
      <c r="E16" s="15"/>
      <c r="F16" s="16"/>
      <c r="G16" s="3"/>
      <c r="H16" s="15">
        <v>2122535.2000000002</v>
      </c>
      <c r="I16" s="17">
        <f t="shared" si="2"/>
        <v>589593111.11111116</v>
      </c>
    </row>
    <row r="17" spans="1:9">
      <c r="A17" s="38">
        <f t="shared" si="0"/>
        <v>14</v>
      </c>
      <c r="B17" s="15">
        <f>771680313/1000</f>
        <v>771680.31299999997</v>
      </c>
      <c r="C17" s="16">
        <f t="shared" si="1"/>
        <v>214355642.5</v>
      </c>
      <c r="D17" s="3" t="s">
        <v>14</v>
      </c>
      <c r="E17" s="15"/>
      <c r="F17" s="16"/>
      <c r="G17" s="3"/>
      <c r="H17" s="15">
        <v>4074466.5000000005</v>
      </c>
      <c r="I17" s="17">
        <f t="shared" si="2"/>
        <v>1131796250</v>
      </c>
    </row>
    <row r="18" spans="1:9">
      <c r="A18" s="93">
        <f t="shared" si="0"/>
        <v>15</v>
      </c>
      <c r="B18" s="15">
        <f>633547297/1000</f>
        <v>633547.29700000002</v>
      </c>
      <c r="C18" s="16">
        <f t="shared" si="1"/>
        <v>175985360.27777776</v>
      </c>
      <c r="D18" s="3" t="s">
        <v>14</v>
      </c>
      <c r="E18" s="15"/>
      <c r="F18" s="16"/>
      <c r="G18" s="3"/>
      <c r="H18" s="15">
        <v>3295458.1</v>
      </c>
      <c r="I18" s="17">
        <f t="shared" si="2"/>
        <v>915405027.77777779</v>
      </c>
    </row>
    <row r="19" spans="1:9">
      <c r="A19" s="93">
        <f t="shared" si="0"/>
        <v>16</v>
      </c>
      <c r="B19" s="15">
        <f>693233640/1000</f>
        <v>693233.64</v>
      </c>
      <c r="C19" s="16">
        <f t="shared" si="1"/>
        <v>192564900</v>
      </c>
      <c r="D19" s="3" t="s">
        <v>14</v>
      </c>
      <c r="E19" s="15"/>
      <c r="F19" s="16"/>
      <c r="G19" s="3"/>
      <c r="H19" s="15">
        <v>2653186.8925319337</v>
      </c>
      <c r="I19" s="17">
        <f t="shared" si="2"/>
        <v>736996359.03664827</v>
      </c>
    </row>
    <row r="20" spans="1:9">
      <c r="A20" s="93">
        <f t="shared" si="0"/>
        <v>17</v>
      </c>
      <c r="B20" s="15">
        <f>693256329/1000</f>
        <v>693256.32900000003</v>
      </c>
      <c r="C20" s="16">
        <f t="shared" si="1"/>
        <v>192571202.5</v>
      </c>
      <c r="D20" s="3" t="s">
        <v>14</v>
      </c>
      <c r="E20" s="15">
        <v>3454848.3</v>
      </c>
      <c r="F20" s="16">
        <f>(E20/3.6)*1000</f>
        <v>959680083.33333325</v>
      </c>
      <c r="G20" s="3" t="s">
        <v>14</v>
      </c>
      <c r="H20" s="15">
        <v>1957426.1</v>
      </c>
      <c r="I20" s="17">
        <f t="shared" si="2"/>
        <v>543729472.22222221</v>
      </c>
    </row>
    <row r="21" spans="1:9">
      <c r="A21" s="93">
        <f t="shared" si="0"/>
        <v>18</v>
      </c>
      <c r="B21" s="15">
        <f>633124696/1000</f>
        <v>633124.696</v>
      </c>
      <c r="C21" s="16">
        <f t="shared" si="1"/>
        <v>175867971.1111111</v>
      </c>
      <c r="D21" s="3" t="s">
        <v>14</v>
      </c>
      <c r="E21" s="15"/>
      <c r="F21" s="16"/>
      <c r="G21" s="3"/>
      <c r="H21" s="15">
        <v>2996603.2720984374</v>
      </c>
      <c r="I21" s="17">
        <f t="shared" si="2"/>
        <v>832389797.80512154</v>
      </c>
    </row>
    <row r="22" spans="1:9">
      <c r="A22" s="93">
        <f t="shared" si="0"/>
        <v>19</v>
      </c>
      <c r="B22" s="15">
        <f>632623447/1000</f>
        <v>632623.44700000004</v>
      </c>
      <c r="C22" s="16">
        <f t="shared" si="1"/>
        <v>175728735.27777779</v>
      </c>
      <c r="D22" s="3" t="s">
        <v>14</v>
      </c>
      <c r="E22" s="15"/>
      <c r="F22" s="16"/>
      <c r="G22" s="3"/>
      <c r="H22" s="15">
        <v>4090902.7</v>
      </c>
      <c r="I22" s="17">
        <f t="shared" si="2"/>
        <v>1136361861.1111112</v>
      </c>
    </row>
    <row r="23" spans="1:9">
      <c r="A23" s="38">
        <f t="shared" si="0"/>
        <v>20</v>
      </c>
      <c r="B23" s="15">
        <f>355810388/1000</f>
        <v>355810.38799999998</v>
      </c>
      <c r="C23" s="16">
        <f t="shared" si="1"/>
        <v>98836218.888888881</v>
      </c>
      <c r="D23" s="3" t="s">
        <v>14</v>
      </c>
      <c r="E23" s="15"/>
      <c r="F23" s="16"/>
      <c r="G23" s="3"/>
      <c r="H23" s="15">
        <v>3451389.0059416019</v>
      </c>
      <c r="I23" s="17">
        <f t="shared" si="2"/>
        <v>958719168.31711173</v>
      </c>
    </row>
    <row r="24" spans="1:9">
      <c r="A24" s="38">
        <f t="shared" si="0"/>
        <v>21</v>
      </c>
      <c r="B24" s="15">
        <f>355746834/1000</f>
        <v>355746.83399999997</v>
      </c>
      <c r="C24" s="16">
        <f t="shared" si="1"/>
        <v>98818564.999999985</v>
      </c>
      <c r="D24" s="3" t="s">
        <v>14</v>
      </c>
      <c r="E24" s="15"/>
      <c r="F24" s="16"/>
      <c r="G24" s="3"/>
      <c r="H24" s="15">
        <v>3097463.8508175784</v>
      </c>
      <c r="I24" s="17">
        <f t="shared" si="2"/>
        <v>860406625.22710514</v>
      </c>
    </row>
    <row r="25" spans="1:9">
      <c r="A25" s="93">
        <f t="shared" si="0"/>
        <v>22</v>
      </c>
      <c r="B25" s="15">
        <f>831736452/1000</f>
        <v>831736.45200000005</v>
      </c>
      <c r="C25" s="16">
        <f t="shared" si="1"/>
        <v>231037903.33333334</v>
      </c>
      <c r="D25" s="3" t="s">
        <v>14</v>
      </c>
      <c r="E25" s="15"/>
      <c r="F25" s="16"/>
      <c r="G25" s="3"/>
      <c r="H25" s="15">
        <v>2737711.8000000003</v>
      </c>
      <c r="I25" s="17">
        <f t="shared" si="2"/>
        <v>760475500.00000012</v>
      </c>
    </row>
    <row r="26" spans="1:9">
      <c r="A26" s="93">
        <f t="shared" si="0"/>
        <v>23</v>
      </c>
      <c r="B26" s="15">
        <f>792111193/1000</f>
        <v>792111.19299999997</v>
      </c>
      <c r="C26" s="16">
        <f t="shared" si="1"/>
        <v>220030886.94444445</v>
      </c>
      <c r="D26" s="3" t="s">
        <v>14</v>
      </c>
      <c r="E26" s="15">
        <v>3469294.8119999999</v>
      </c>
      <c r="F26" s="16">
        <f>(E26/3.6)*1000</f>
        <v>963693003.33333325</v>
      </c>
      <c r="G26" s="3" t="s">
        <v>14</v>
      </c>
      <c r="H26" s="15">
        <v>1888720.5105509767</v>
      </c>
      <c r="I26" s="17">
        <f t="shared" si="2"/>
        <v>524644586.26416022</v>
      </c>
    </row>
    <row r="27" spans="1:9">
      <c r="A27" s="93">
        <f t="shared" si="0"/>
        <v>24</v>
      </c>
      <c r="B27" s="15">
        <v>791687.929</v>
      </c>
      <c r="C27" s="16">
        <v>219913313.6111111</v>
      </c>
      <c r="D27" s="3" t="s">
        <v>14</v>
      </c>
      <c r="E27" s="15"/>
      <c r="F27" s="16"/>
      <c r="G27" s="3"/>
      <c r="H27" s="15">
        <v>4074394.2</v>
      </c>
      <c r="I27" s="17">
        <v>1131776166.6666667</v>
      </c>
    </row>
    <row r="28" spans="1:9">
      <c r="A28" s="93">
        <f t="shared" si="0"/>
        <v>25</v>
      </c>
      <c r="B28" s="15">
        <v>752206.31700000004</v>
      </c>
      <c r="C28" s="16">
        <v>208946199.16666666</v>
      </c>
      <c r="D28" s="3" t="s">
        <v>14</v>
      </c>
      <c r="E28" s="15"/>
      <c r="F28" s="16"/>
      <c r="G28" s="3"/>
      <c r="H28" s="15">
        <v>3779077.7340984377</v>
      </c>
      <c r="I28" s="17">
        <f t="shared" ref="I28:I32" si="3">(H28/3.6)*1000</f>
        <v>1049743815.0273437</v>
      </c>
    </row>
    <row r="29" spans="1:9">
      <c r="A29" s="93">
        <f t="shared" si="0"/>
        <v>26</v>
      </c>
      <c r="B29" s="15">
        <f>752002290/1000</f>
        <v>752002.29</v>
      </c>
      <c r="C29" s="16">
        <f t="shared" ref="C29:C32" si="4">(B29/3.6)*1000</f>
        <v>208889525</v>
      </c>
      <c r="D29" s="3" t="s">
        <v>14</v>
      </c>
      <c r="H29" s="15">
        <v>3016211.4000000004</v>
      </c>
      <c r="I29" s="17">
        <f t="shared" si="3"/>
        <v>837836500.00000012</v>
      </c>
    </row>
    <row r="30" spans="1:9">
      <c r="A30" s="38">
        <f t="shared" si="0"/>
        <v>27</v>
      </c>
      <c r="B30" s="15">
        <f>237225602/1000</f>
        <v>237225.60200000001</v>
      </c>
      <c r="C30" s="16">
        <f t="shared" si="4"/>
        <v>65896000.555555552</v>
      </c>
      <c r="D30" s="3" t="s">
        <v>14</v>
      </c>
      <c r="E30" s="15"/>
      <c r="F30" s="16"/>
      <c r="G30" s="3"/>
      <c r="H30" s="15">
        <v>2255350.3000000003</v>
      </c>
      <c r="I30" s="17">
        <f t="shared" si="3"/>
        <v>626486194.44444454</v>
      </c>
    </row>
    <row r="31" spans="1:9">
      <c r="A31" s="38">
        <f t="shared" si="0"/>
        <v>28</v>
      </c>
      <c r="B31" s="15">
        <f>236866668/1000</f>
        <v>236866.66800000001</v>
      </c>
      <c r="C31" s="16">
        <f t="shared" si="4"/>
        <v>65796296.666666664</v>
      </c>
      <c r="D31" s="3" t="s">
        <v>14</v>
      </c>
      <c r="E31" s="15"/>
      <c r="F31" s="16"/>
      <c r="G31" s="3"/>
      <c r="H31" s="15">
        <v>2024038.5000000002</v>
      </c>
      <c r="I31" s="17">
        <f t="shared" si="3"/>
        <v>562232916.66666675</v>
      </c>
    </row>
    <row r="32" spans="1:9">
      <c r="A32" s="93">
        <f t="shared" si="0"/>
        <v>29</v>
      </c>
      <c r="B32" s="15">
        <f>792091359/1000</f>
        <v>792091.35900000005</v>
      </c>
      <c r="C32" s="16">
        <f t="shared" si="4"/>
        <v>220025377.5</v>
      </c>
      <c r="D32" s="3" t="s">
        <v>14</v>
      </c>
      <c r="E32" s="15"/>
      <c r="F32" s="16"/>
      <c r="G32" s="3"/>
      <c r="H32" s="15">
        <v>1784123</v>
      </c>
      <c r="I32" s="17">
        <f t="shared" si="3"/>
        <v>495589722.22222221</v>
      </c>
    </row>
    <row r="33" spans="1:10">
      <c r="A33" s="51"/>
      <c r="B33" s="25"/>
      <c r="C33" s="25"/>
      <c r="D33" s="26"/>
      <c r="E33" s="25"/>
      <c r="F33" s="25"/>
      <c r="G33" s="26"/>
      <c r="H33" s="25"/>
      <c r="I33" s="25"/>
    </row>
    <row r="34" spans="1:10" ht="21.6" customHeight="1">
      <c r="A34" s="7" t="s">
        <v>3</v>
      </c>
      <c r="B34" s="163" t="s">
        <v>17</v>
      </c>
      <c r="C34" s="163"/>
      <c r="D34" s="163"/>
      <c r="E34" s="164"/>
      <c r="F34" s="164"/>
      <c r="G34" s="164"/>
      <c r="H34" s="164"/>
      <c r="I34" s="90"/>
      <c r="J34" s="90"/>
    </row>
    <row r="35" spans="1:10" ht="23.45" customHeight="1">
      <c r="A35" s="7" t="s">
        <v>4</v>
      </c>
      <c r="B35" s="165" t="s">
        <v>13</v>
      </c>
      <c r="C35" s="165"/>
      <c r="D35" s="165"/>
      <c r="E35" s="165"/>
      <c r="F35" s="165"/>
      <c r="G35" s="165"/>
      <c r="H35" s="165"/>
      <c r="I35" s="91"/>
      <c r="J35" s="90"/>
    </row>
    <row r="36" spans="1:10" ht="31.9" customHeight="1">
      <c r="A36" s="7" t="s">
        <v>5</v>
      </c>
      <c r="B36" s="165" t="s">
        <v>18</v>
      </c>
      <c r="C36" s="165"/>
      <c r="D36" s="165"/>
      <c r="E36" s="166"/>
      <c r="F36" s="166"/>
      <c r="G36" s="166"/>
      <c r="H36" s="166"/>
      <c r="I36" s="92"/>
      <c r="J36" s="92"/>
    </row>
    <row r="37" spans="1:10">
      <c r="A37" s="7" t="s">
        <v>6</v>
      </c>
      <c r="B37" s="165" t="s">
        <v>0</v>
      </c>
      <c r="C37" s="165"/>
      <c r="D37" s="165"/>
      <c r="E37" s="165"/>
      <c r="F37" s="165"/>
      <c r="G37" s="165"/>
      <c r="H37" s="165"/>
      <c r="I37" s="91"/>
      <c r="J37" s="92"/>
    </row>
    <row r="38" spans="1:10">
      <c r="A38" s="7" t="s">
        <v>7</v>
      </c>
      <c r="B38" s="165" t="s">
        <v>16</v>
      </c>
      <c r="C38" s="165"/>
      <c r="D38" s="165"/>
      <c r="E38" s="166"/>
      <c r="F38" s="166"/>
      <c r="G38" s="166"/>
      <c r="H38" s="166"/>
      <c r="I38" s="92"/>
      <c r="J38" s="4"/>
    </row>
    <row r="39" spans="1:10">
      <c r="A39" s="28" t="s">
        <v>19</v>
      </c>
      <c r="B39" s="149" t="s">
        <v>20</v>
      </c>
      <c r="C39" s="167"/>
      <c r="D39" s="167"/>
      <c r="E39" s="167"/>
      <c r="F39" s="167"/>
      <c r="G39" s="167"/>
      <c r="H39" s="167"/>
      <c r="I39" s="94"/>
      <c r="J39" s="6"/>
    </row>
    <row r="40" spans="1:10">
      <c r="A40" s="1"/>
      <c r="B40" s="1"/>
      <c r="C40" s="1"/>
      <c r="D40" s="1"/>
      <c r="E40" s="1"/>
      <c r="F40" s="1"/>
      <c r="G40" s="1"/>
      <c r="H40" s="1"/>
      <c r="I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</row>
  </sheetData>
  <mergeCells count="13">
    <mergeCell ref="B39:H39"/>
    <mergeCell ref="A1:I1"/>
    <mergeCell ref="A2:A3"/>
    <mergeCell ref="B2:C2"/>
    <mergeCell ref="D2:D3"/>
    <mergeCell ref="E2:F2"/>
    <mergeCell ref="G2:G3"/>
    <mergeCell ref="H2:I2"/>
    <mergeCell ref="B34:H34"/>
    <mergeCell ref="B35:H35"/>
    <mergeCell ref="B36:H36"/>
    <mergeCell ref="B37:H37"/>
    <mergeCell ref="B38:H3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B2" sqref="B2:I3"/>
    </sheetView>
  </sheetViews>
  <sheetFormatPr defaultRowHeight="12.75"/>
  <cols>
    <col min="1" max="1" width="10.140625" customWidth="1"/>
    <col min="2" max="2" width="16.85546875" customWidth="1"/>
    <col min="3" max="3" width="16.5703125" customWidth="1"/>
    <col min="4" max="4" width="19.85546875" customWidth="1"/>
    <col min="5" max="6" width="17.140625" customWidth="1"/>
    <col min="7" max="7" width="19.85546875" customWidth="1"/>
    <col min="8" max="8" width="16.85546875" customWidth="1"/>
    <col min="9" max="9" width="17.140625" customWidth="1"/>
  </cols>
  <sheetData>
    <row r="1" spans="1:9" ht="49.15" customHeight="1" thickBot="1">
      <c r="A1" s="151" t="s">
        <v>36</v>
      </c>
      <c r="B1" s="151"/>
      <c r="C1" s="151"/>
      <c r="D1" s="151"/>
      <c r="E1" s="151"/>
      <c r="F1" s="151"/>
      <c r="G1" s="151"/>
      <c r="H1" s="151"/>
      <c r="I1" s="151"/>
    </row>
    <row r="2" spans="1:9">
      <c r="A2" s="168" t="s">
        <v>11</v>
      </c>
      <c r="B2" s="169" t="s">
        <v>2</v>
      </c>
      <c r="C2" s="170"/>
      <c r="D2" s="171" t="s">
        <v>12</v>
      </c>
      <c r="E2" s="173" t="s">
        <v>8</v>
      </c>
      <c r="F2" s="174"/>
      <c r="G2" s="175" t="s">
        <v>9</v>
      </c>
      <c r="H2" s="177" t="s">
        <v>10</v>
      </c>
      <c r="I2" s="178"/>
    </row>
    <row r="3" spans="1:9">
      <c r="A3" s="168"/>
      <c r="B3" s="5" t="s">
        <v>1</v>
      </c>
      <c r="C3" s="10" t="s">
        <v>29</v>
      </c>
      <c r="D3" s="172"/>
      <c r="E3" s="2" t="s">
        <v>1</v>
      </c>
      <c r="F3" s="11" t="s">
        <v>29</v>
      </c>
      <c r="G3" s="176"/>
      <c r="H3" s="12" t="s">
        <v>1</v>
      </c>
      <c r="I3" s="13" t="s">
        <v>29</v>
      </c>
    </row>
    <row r="4" spans="1:9">
      <c r="A4" s="8">
        <v>1</v>
      </c>
      <c r="B4" s="15">
        <f>851727140/1000</f>
        <v>851727.14</v>
      </c>
      <c r="C4" s="16">
        <f>(B4/3.6)*1000</f>
        <v>236590872.22222221</v>
      </c>
      <c r="D4" s="3" t="s">
        <v>14</v>
      </c>
      <c r="E4" s="15">
        <v>3333124.318</v>
      </c>
      <c r="F4" s="16">
        <f>(E4/3.6)*1000</f>
        <v>925867866.11111116</v>
      </c>
      <c r="G4" s="3" t="s">
        <v>14</v>
      </c>
      <c r="H4" s="15">
        <v>971254.10000000009</v>
      </c>
      <c r="I4" s="17">
        <f>(H4/3.6)*1000</f>
        <v>269792805.55555558</v>
      </c>
    </row>
    <row r="5" spans="1:9">
      <c r="A5" s="8">
        <f>A4+1</f>
        <v>2</v>
      </c>
      <c r="B5" s="15">
        <f>791456365/1000</f>
        <v>791456.36499999999</v>
      </c>
      <c r="C5" s="16">
        <f>(B5/3.6)*1000</f>
        <v>219848990.27777776</v>
      </c>
      <c r="D5" s="3" t="s">
        <v>14</v>
      </c>
      <c r="E5" s="15"/>
      <c r="F5" s="16"/>
      <c r="G5" s="3"/>
      <c r="H5" s="15">
        <v>3105736.5128174806</v>
      </c>
      <c r="I5" s="17">
        <f>(H5/3.6)*1000</f>
        <v>862704586.89374459</v>
      </c>
    </row>
    <row r="6" spans="1:9">
      <c r="A6" s="8">
        <f>A5+1</f>
        <v>3</v>
      </c>
      <c r="B6" s="15">
        <f>772813582/1000</f>
        <v>772813.58200000005</v>
      </c>
      <c r="C6" s="16">
        <f>(B6/3.6)*1000</f>
        <v>214670439.44444445</v>
      </c>
      <c r="D6" s="3" t="s">
        <v>14</v>
      </c>
      <c r="E6" s="15"/>
      <c r="F6" s="16"/>
      <c r="G6" s="3"/>
      <c r="H6" s="15">
        <v>2667549.6403474608</v>
      </c>
      <c r="I6" s="17">
        <f>(H6/3.6)*1000</f>
        <v>740986011.20762789</v>
      </c>
    </row>
    <row r="7" spans="1:9">
      <c r="A7" s="8">
        <f t="shared" ref="A7:A34" si="0">A6+1</f>
        <v>4</v>
      </c>
      <c r="B7" s="15">
        <f>772999129/1000</f>
        <v>772999.12899999996</v>
      </c>
      <c r="C7" s="16">
        <f t="shared" ref="C7:C31" si="1">(B7/3.6)*1000</f>
        <v>214721980.27777776</v>
      </c>
      <c r="D7" s="3" t="s">
        <v>14</v>
      </c>
      <c r="E7" s="15">
        <v>3461958.8820000002</v>
      </c>
      <c r="F7" s="16">
        <f>(E7/3.6)*1000</f>
        <v>961655245</v>
      </c>
      <c r="G7" s="3" t="s">
        <v>14</v>
      </c>
      <c r="H7" s="15">
        <v>1888837.5</v>
      </c>
      <c r="I7" s="17">
        <f t="shared" ref="I7:I34" si="2">(H7/3.6)*1000</f>
        <v>524677083.33333337</v>
      </c>
    </row>
    <row r="8" spans="1:9">
      <c r="A8" s="18">
        <f t="shared" si="0"/>
        <v>5</v>
      </c>
      <c r="B8" s="15">
        <f>237117632/1000</f>
        <v>237117.63200000001</v>
      </c>
      <c r="C8" s="16">
        <f t="shared" si="1"/>
        <v>65866008.888888888</v>
      </c>
      <c r="D8" s="3" t="s">
        <v>14</v>
      </c>
      <c r="E8" s="15"/>
      <c r="F8" s="16"/>
      <c r="G8" s="3"/>
      <c r="H8" s="15">
        <v>4590784.9000000004</v>
      </c>
      <c r="I8" s="17">
        <f t="shared" si="2"/>
        <v>1275218027.7777777</v>
      </c>
    </row>
    <row r="9" spans="1:9">
      <c r="A9" s="18">
        <f t="shared" si="0"/>
        <v>6</v>
      </c>
      <c r="B9" s="15">
        <f>236885641/1000</f>
        <v>236885.641</v>
      </c>
      <c r="C9" s="16">
        <f t="shared" si="1"/>
        <v>65801566.944444448</v>
      </c>
      <c r="D9" s="3" t="s">
        <v>14</v>
      </c>
      <c r="E9" s="15"/>
      <c r="F9" s="16"/>
      <c r="G9" s="3"/>
      <c r="H9" s="15">
        <v>4355062.8</v>
      </c>
      <c r="I9" s="17">
        <f t="shared" si="2"/>
        <v>1209739666.6666665</v>
      </c>
    </row>
    <row r="10" spans="1:9">
      <c r="A10" s="8">
        <f t="shared" si="0"/>
        <v>7</v>
      </c>
      <c r="B10" s="15">
        <f>851703930/1000</f>
        <v>851703.93</v>
      </c>
      <c r="C10" s="16">
        <f t="shared" si="1"/>
        <v>236584425.00000003</v>
      </c>
      <c r="D10" s="3" t="s">
        <v>14</v>
      </c>
      <c r="E10" s="15"/>
      <c r="F10" s="16"/>
      <c r="G10" s="3"/>
      <c r="H10" s="15">
        <v>4114183.3000000003</v>
      </c>
      <c r="I10" s="17">
        <f t="shared" si="2"/>
        <v>1142828694.4444444</v>
      </c>
    </row>
    <row r="11" spans="1:9">
      <c r="A11" s="8">
        <f t="shared" si="0"/>
        <v>8</v>
      </c>
      <c r="B11" s="15">
        <f>673260617/1000</f>
        <v>673260.61699999997</v>
      </c>
      <c r="C11" s="16">
        <f t="shared" si="1"/>
        <v>187016838.05555552</v>
      </c>
      <c r="D11" s="3" t="s">
        <v>14</v>
      </c>
      <c r="E11" s="15"/>
      <c r="F11" s="16"/>
      <c r="G11" s="3"/>
      <c r="H11" s="15">
        <v>3242534.5</v>
      </c>
      <c r="I11" s="17">
        <f t="shared" si="2"/>
        <v>900704027.77777779</v>
      </c>
    </row>
    <row r="12" spans="1:9">
      <c r="A12" s="8">
        <f t="shared" si="0"/>
        <v>9</v>
      </c>
      <c r="B12" s="15">
        <f>852280588/1000</f>
        <v>852280.58799999999</v>
      </c>
      <c r="C12" s="16">
        <f t="shared" si="1"/>
        <v>236744607.77777776</v>
      </c>
      <c r="D12" s="3" t="s">
        <v>14</v>
      </c>
      <c r="E12" s="15"/>
      <c r="F12" s="16"/>
      <c r="G12" s="3"/>
      <c r="H12" s="15">
        <v>2565488.4830369144</v>
      </c>
      <c r="I12" s="17">
        <f t="shared" si="2"/>
        <v>712635689.73247623</v>
      </c>
    </row>
    <row r="13" spans="1:9">
      <c r="A13" s="8">
        <f t="shared" si="0"/>
        <v>10</v>
      </c>
      <c r="B13" s="15">
        <f>634256198/1000</f>
        <v>634256.19799999997</v>
      </c>
      <c r="C13" s="16">
        <f t="shared" si="1"/>
        <v>176182277.22222221</v>
      </c>
      <c r="D13" s="3" t="s">
        <v>14</v>
      </c>
      <c r="E13" s="15">
        <v>3385888.3640000001</v>
      </c>
      <c r="F13" s="16">
        <f>(E13/3.6)*1000</f>
        <v>940524545.55555546</v>
      </c>
      <c r="G13" s="3" t="s">
        <v>14</v>
      </c>
      <c r="H13" s="15">
        <v>1703580.8</v>
      </c>
      <c r="I13" s="17">
        <f t="shared" si="2"/>
        <v>473216888.8888889</v>
      </c>
    </row>
    <row r="14" spans="1:9">
      <c r="A14" s="8">
        <f t="shared" si="0"/>
        <v>11</v>
      </c>
      <c r="B14" s="15">
        <f>633113115/1000</f>
        <v>633113.11499999999</v>
      </c>
      <c r="C14" s="16">
        <f t="shared" si="1"/>
        <v>175864754.16666666</v>
      </c>
      <c r="D14" s="3" t="s">
        <v>14</v>
      </c>
      <c r="E14" s="15"/>
      <c r="F14" s="16"/>
      <c r="G14" s="3"/>
      <c r="H14" s="15">
        <v>2664664.7000000002</v>
      </c>
      <c r="I14" s="17">
        <f t="shared" si="2"/>
        <v>740184638.88888884</v>
      </c>
    </row>
    <row r="15" spans="1:9">
      <c r="A15" s="18">
        <f t="shared" si="0"/>
        <v>12</v>
      </c>
      <c r="B15" s="15">
        <f>237367069/1000</f>
        <v>237367.06899999999</v>
      </c>
      <c r="C15" s="16">
        <f t="shared" si="1"/>
        <v>65935296.944444448</v>
      </c>
      <c r="D15" s="3" t="s">
        <v>14</v>
      </c>
      <c r="E15" s="15"/>
      <c r="F15" s="16"/>
      <c r="G15" s="3"/>
      <c r="H15" s="15">
        <v>3837250.2</v>
      </c>
      <c r="I15" s="17">
        <f t="shared" si="2"/>
        <v>1065902833.3333333</v>
      </c>
    </row>
    <row r="16" spans="1:9">
      <c r="A16" s="18">
        <f t="shared" si="0"/>
        <v>13</v>
      </c>
      <c r="B16" s="15">
        <f>237225488/1000</f>
        <v>237225.48800000001</v>
      </c>
      <c r="C16" s="16">
        <f t="shared" si="1"/>
        <v>65895968.888888896</v>
      </c>
      <c r="D16" s="3" t="s">
        <v>14</v>
      </c>
      <c r="E16" s="15"/>
      <c r="F16" s="16"/>
      <c r="G16" s="3"/>
      <c r="H16" s="15">
        <v>3598105.9000000004</v>
      </c>
      <c r="I16" s="17">
        <f t="shared" si="2"/>
        <v>999473861.11111128</v>
      </c>
    </row>
    <row r="17" spans="1:9">
      <c r="A17" s="8">
        <f t="shared" si="0"/>
        <v>14</v>
      </c>
      <c r="B17" s="15">
        <f>554672532/1000</f>
        <v>554672.53200000001</v>
      </c>
      <c r="C17" s="16">
        <f t="shared" si="1"/>
        <v>154075703.33333334</v>
      </c>
      <c r="D17" s="3" t="s">
        <v>14</v>
      </c>
      <c r="E17" s="15">
        <v>3461910.071</v>
      </c>
      <c r="F17" s="16">
        <f>(E17/3.6)*1000</f>
        <v>961641686.38888884</v>
      </c>
      <c r="G17" s="3" t="s">
        <v>14</v>
      </c>
      <c r="H17" s="15">
        <v>3357491.5</v>
      </c>
      <c r="I17" s="17">
        <f t="shared" si="2"/>
        <v>932636527.77777779</v>
      </c>
    </row>
    <row r="18" spans="1:9">
      <c r="A18" s="8">
        <f t="shared" si="0"/>
        <v>15</v>
      </c>
      <c r="B18" s="15">
        <f>475315770/1000</f>
        <v>475315.77</v>
      </c>
      <c r="C18" s="16">
        <f t="shared" si="1"/>
        <v>132032158.33333333</v>
      </c>
      <c r="D18" s="3" t="s">
        <v>14</v>
      </c>
      <c r="E18" s="15"/>
      <c r="F18" s="16"/>
      <c r="G18" s="3"/>
      <c r="H18" s="15">
        <v>2791972.8913974608</v>
      </c>
      <c r="I18" s="17">
        <f t="shared" si="2"/>
        <v>775548025.38818359</v>
      </c>
    </row>
    <row r="19" spans="1:9">
      <c r="A19" s="8">
        <f t="shared" si="0"/>
        <v>16</v>
      </c>
      <c r="B19" s="15">
        <f>594358324/1000</f>
        <v>594358.32400000002</v>
      </c>
      <c r="C19" s="16">
        <f t="shared" si="1"/>
        <v>165099534.44444445</v>
      </c>
      <c r="D19" s="3" t="s">
        <v>14</v>
      </c>
      <c r="E19" s="15"/>
      <c r="F19" s="16"/>
      <c r="G19" s="3"/>
      <c r="H19" s="15">
        <v>2314106.1</v>
      </c>
      <c r="I19" s="17">
        <f t="shared" si="2"/>
        <v>642807250</v>
      </c>
    </row>
    <row r="20" spans="1:9">
      <c r="A20" s="8">
        <f t="shared" si="0"/>
        <v>17</v>
      </c>
      <c r="B20" s="15">
        <f>732604745/1000</f>
        <v>732604.745</v>
      </c>
      <c r="C20" s="16">
        <f t="shared" si="1"/>
        <v>203501318.05555555</v>
      </c>
      <c r="D20" s="3" t="s">
        <v>14</v>
      </c>
      <c r="E20" s="15"/>
      <c r="F20" s="16"/>
      <c r="G20" s="3"/>
      <c r="H20" s="15">
        <v>1711654.3</v>
      </c>
      <c r="I20" s="17">
        <f t="shared" si="2"/>
        <v>475459527.77777773</v>
      </c>
    </row>
    <row r="21" spans="1:9">
      <c r="A21" s="8">
        <f t="shared" si="0"/>
        <v>18</v>
      </c>
      <c r="B21" s="15">
        <f>545955388/1000</f>
        <v>545955.38800000004</v>
      </c>
      <c r="C21" s="16">
        <f t="shared" si="1"/>
        <v>151654274.44444445</v>
      </c>
      <c r="D21" s="3" t="s">
        <v>14</v>
      </c>
      <c r="E21" s="15"/>
      <c r="F21" s="16"/>
      <c r="G21" s="3"/>
      <c r="H21" s="15">
        <v>4204341.4000000004</v>
      </c>
      <c r="I21" s="17">
        <f t="shared" si="2"/>
        <v>1167872611.1111112</v>
      </c>
    </row>
    <row r="22" spans="1:9">
      <c r="A22" s="18">
        <f t="shared" si="0"/>
        <v>19</v>
      </c>
      <c r="B22" s="15">
        <f>237200512/1000</f>
        <v>237200.51199999999</v>
      </c>
      <c r="C22" s="16">
        <f t="shared" si="1"/>
        <v>65889031.111111104</v>
      </c>
      <c r="D22" s="3" t="s">
        <v>14</v>
      </c>
      <c r="E22" s="15"/>
      <c r="F22" s="16"/>
      <c r="G22" s="3"/>
      <c r="H22" s="15">
        <v>3901139.3000000003</v>
      </c>
      <c r="I22" s="17">
        <f t="shared" si="2"/>
        <v>1083649805.5555556</v>
      </c>
    </row>
    <row r="23" spans="1:9">
      <c r="A23" s="18">
        <f t="shared" si="0"/>
        <v>20</v>
      </c>
      <c r="B23" s="15">
        <f>236995633/1000</f>
        <v>236995.633</v>
      </c>
      <c r="C23" s="16">
        <f t="shared" si="1"/>
        <v>65832120.277777776</v>
      </c>
      <c r="D23" s="3" t="s">
        <v>14</v>
      </c>
      <c r="E23" s="15"/>
      <c r="F23" s="16"/>
      <c r="G23" s="3"/>
      <c r="H23" s="15">
        <v>3665513.6</v>
      </c>
      <c r="I23" s="17">
        <f t="shared" si="2"/>
        <v>1018198222.2222222</v>
      </c>
    </row>
    <row r="24" spans="1:9">
      <c r="A24" s="8">
        <f t="shared" si="0"/>
        <v>21</v>
      </c>
      <c r="B24" s="15">
        <f>355789432/1000</f>
        <v>355789.43199999997</v>
      </c>
      <c r="C24" s="16">
        <f t="shared" si="1"/>
        <v>98830397.777777761</v>
      </c>
      <c r="D24" s="3" t="s">
        <v>14</v>
      </c>
      <c r="E24" s="15"/>
      <c r="F24" s="16"/>
      <c r="G24" s="3"/>
      <c r="H24" s="15">
        <v>3426803.1</v>
      </c>
      <c r="I24" s="17">
        <f t="shared" si="2"/>
        <v>951889750</v>
      </c>
    </row>
    <row r="25" spans="1:9">
      <c r="A25" s="8">
        <f t="shared" si="0"/>
        <v>22</v>
      </c>
      <c r="B25" s="15">
        <f>355832861/1000</f>
        <v>355832.86099999998</v>
      </c>
      <c r="C25" s="16">
        <f t="shared" si="1"/>
        <v>98842461.388888881</v>
      </c>
      <c r="D25" s="3" t="s">
        <v>14</v>
      </c>
      <c r="E25" s="15"/>
      <c r="F25" s="16"/>
      <c r="G25" s="3"/>
      <c r="H25" s="15">
        <v>3064652.4000000004</v>
      </c>
      <c r="I25" s="17">
        <f t="shared" si="2"/>
        <v>851292333.33333337</v>
      </c>
    </row>
    <row r="26" spans="1:9">
      <c r="A26" s="8">
        <f t="shared" si="0"/>
        <v>23</v>
      </c>
      <c r="B26" s="15">
        <f>356145037/1000</f>
        <v>356145.03700000001</v>
      </c>
      <c r="C26" s="16">
        <f t="shared" si="1"/>
        <v>98929176.944444448</v>
      </c>
      <c r="D26" s="3" t="s">
        <v>14</v>
      </c>
      <c r="E26" s="15"/>
      <c r="F26" s="16"/>
      <c r="G26" s="3"/>
      <c r="H26" s="15">
        <v>2701152.1</v>
      </c>
      <c r="I26" s="17">
        <f t="shared" si="2"/>
        <v>750320027.77777779</v>
      </c>
    </row>
    <row r="27" spans="1:9">
      <c r="A27" s="8">
        <f t="shared" si="0"/>
        <v>24</v>
      </c>
      <c r="B27" s="15">
        <f>356198103/1000</f>
        <v>356198.103</v>
      </c>
      <c r="C27" s="16">
        <f t="shared" si="1"/>
        <v>98943917.5</v>
      </c>
      <c r="D27" s="3" t="s">
        <v>14</v>
      </c>
      <c r="E27" s="15"/>
      <c r="F27" s="16"/>
      <c r="G27" s="3"/>
      <c r="H27" s="15">
        <v>2339507.5</v>
      </c>
      <c r="I27" s="17">
        <f t="shared" si="2"/>
        <v>649863194.44444442</v>
      </c>
    </row>
    <row r="28" spans="1:9">
      <c r="A28" s="8">
        <f t="shared" si="0"/>
        <v>25</v>
      </c>
      <c r="B28" s="15">
        <v>356834.64399999997</v>
      </c>
      <c r="C28" s="16">
        <f t="shared" si="1"/>
        <v>99120734.444444433</v>
      </c>
      <c r="D28" s="3" t="s">
        <v>14</v>
      </c>
      <c r="E28" s="15"/>
      <c r="F28" s="16"/>
      <c r="G28" s="3"/>
      <c r="H28" s="15">
        <v>1978176.2000000002</v>
      </c>
      <c r="I28" s="17">
        <f t="shared" si="2"/>
        <v>549493388.88888884</v>
      </c>
    </row>
    <row r="29" spans="1:9">
      <c r="A29" s="18">
        <f t="shared" si="0"/>
        <v>26</v>
      </c>
      <c r="B29" s="15">
        <v>245634.88099999999</v>
      </c>
      <c r="C29" s="16">
        <f t="shared" si="1"/>
        <v>68231911.388888881</v>
      </c>
      <c r="D29" s="3" t="s">
        <v>14</v>
      </c>
      <c r="H29" s="15">
        <v>1616338.8</v>
      </c>
      <c r="I29" s="17">
        <f t="shared" si="2"/>
        <v>448983000</v>
      </c>
    </row>
    <row r="30" spans="1:9">
      <c r="A30" s="18">
        <f t="shared" si="0"/>
        <v>27</v>
      </c>
      <c r="B30" s="15">
        <v>237491.25399999999</v>
      </c>
      <c r="C30" s="16">
        <f t="shared" si="1"/>
        <v>65969792.777777769</v>
      </c>
      <c r="D30" s="3" t="s">
        <v>14</v>
      </c>
      <c r="E30" s="15">
        <v>3519266.983</v>
      </c>
      <c r="F30" s="16">
        <v>977574161.94444442</v>
      </c>
      <c r="G30" s="3" t="s">
        <v>14</v>
      </c>
      <c r="H30" s="15">
        <v>1378664.6</v>
      </c>
      <c r="I30" s="17">
        <f t="shared" si="2"/>
        <v>382962388.88888896</v>
      </c>
    </row>
    <row r="31" spans="1:9">
      <c r="A31" s="18">
        <f t="shared" si="0"/>
        <v>28</v>
      </c>
      <c r="B31" s="15">
        <v>237343.269</v>
      </c>
      <c r="C31" s="16">
        <f t="shared" si="1"/>
        <v>65928685.833333336</v>
      </c>
      <c r="D31" s="3" t="s">
        <v>14</v>
      </c>
      <c r="E31" s="15"/>
      <c r="F31" s="16"/>
      <c r="G31" s="3"/>
      <c r="H31" s="15">
        <v>2356570.3000000003</v>
      </c>
      <c r="I31" s="17">
        <f t="shared" si="2"/>
        <v>654602861.11111116</v>
      </c>
    </row>
    <row r="32" spans="1:9">
      <c r="A32" s="8">
        <f t="shared" si="0"/>
        <v>29</v>
      </c>
      <c r="B32" s="15">
        <f>554168304/1000</f>
        <v>554168.304</v>
      </c>
      <c r="C32" s="16">
        <f t="shared" ref="C32:C33" si="3">(B32/3.6)*1000</f>
        <v>153935639.99999997</v>
      </c>
      <c r="D32" s="3" t="s">
        <v>14</v>
      </c>
      <c r="E32" s="15"/>
      <c r="F32" s="16"/>
      <c r="G32" s="3"/>
      <c r="H32" s="15">
        <v>4425266.1000000006</v>
      </c>
      <c r="I32" s="17">
        <f t="shared" si="2"/>
        <v>1229240583.3333335</v>
      </c>
    </row>
    <row r="33" spans="1:10">
      <c r="A33" s="8">
        <f t="shared" si="0"/>
        <v>30</v>
      </c>
      <c r="B33" s="15">
        <f>593994124/1000</f>
        <v>593994.12399999995</v>
      </c>
      <c r="C33" s="16">
        <f t="shared" si="3"/>
        <v>164998367.77777776</v>
      </c>
      <c r="D33" s="3" t="s">
        <v>14</v>
      </c>
      <c r="E33" s="15"/>
      <c r="F33" s="16"/>
      <c r="G33" s="3"/>
      <c r="H33" s="15">
        <v>3860527.1224435554</v>
      </c>
      <c r="I33" s="17">
        <f t="shared" si="2"/>
        <v>1072368645.1232098</v>
      </c>
    </row>
    <row r="34" spans="1:10">
      <c r="A34" s="8">
        <f t="shared" si="0"/>
        <v>31</v>
      </c>
      <c r="B34" s="15">
        <f>554999586/1000</f>
        <v>554999.58600000001</v>
      </c>
      <c r="C34" s="16">
        <v>154012385.11500001</v>
      </c>
      <c r="D34" s="3" t="s">
        <v>14</v>
      </c>
      <c r="E34" s="15"/>
      <c r="F34" s="16"/>
      <c r="G34" s="3"/>
      <c r="H34" s="15">
        <v>2940332.9943202152</v>
      </c>
      <c r="I34" s="17">
        <f t="shared" si="2"/>
        <v>816759165.08894873</v>
      </c>
    </row>
    <row r="35" spans="1:10">
      <c r="A35" s="51"/>
      <c r="B35" s="25"/>
      <c r="C35" s="25"/>
      <c r="D35" s="26"/>
      <c r="E35" s="25"/>
      <c r="F35" s="25"/>
      <c r="G35" s="26"/>
      <c r="H35" s="25"/>
      <c r="I35" s="25"/>
    </row>
    <row r="36" spans="1:10">
      <c r="A36" s="51"/>
      <c r="B36" s="25"/>
      <c r="C36" s="25"/>
      <c r="D36" s="26"/>
      <c r="E36" s="25"/>
      <c r="F36" s="25"/>
      <c r="G36" s="26"/>
      <c r="H36" s="25"/>
      <c r="I36" s="25"/>
    </row>
    <row r="37" spans="1:10" ht="18.600000000000001" customHeight="1">
      <c r="A37" s="7" t="s">
        <v>3</v>
      </c>
      <c r="B37" s="163" t="s">
        <v>17</v>
      </c>
      <c r="C37" s="163"/>
      <c r="D37" s="163"/>
      <c r="E37" s="164"/>
      <c r="F37" s="164"/>
      <c r="G37" s="164"/>
      <c r="H37" s="164"/>
      <c r="I37" s="95"/>
      <c r="J37" s="95"/>
    </row>
    <row r="38" spans="1:10" ht="28.15" customHeight="1">
      <c r="A38" s="7" t="s">
        <v>4</v>
      </c>
      <c r="B38" s="165" t="s">
        <v>13</v>
      </c>
      <c r="C38" s="165"/>
      <c r="D38" s="165"/>
      <c r="E38" s="165"/>
      <c r="F38" s="165"/>
      <c r="G38" s="165"/>
      <c r="H38" s="165"/>
      <c r="I38" s="96"/>
      <c r="J38" s="95"/>
    </row>
    <row r="39" spans="1:10" ht="27" customHeight="1">
      <c r="A39" s="7" t="s">
        <v>5</v>
      </c>
      <c r="B39" s="165" t="s">
        <v>18</v>
      </c>
      <c r="C39" s="165"/>
      <c r="D39" s="165"/>
      <c r="E39" s="166"/>
      <c r="F39" s="166"/>
      <c r="G39" s="166"/>
      <c r="H39" s="166"/>
      <c r="I39" s="97"/>
      <c r="J39" s="97"/>
    </row>
    <row r="40" spans="1:10" ht="18.600000000000001" customHeight="1">
      <c r="A40" s="7" t="s">
        <v>6</v>
      </c>
      <c r="B40" s="165" t="s">
        <v>0</v>
      </c>
      <c r="C40" s="165"/>
      <c r="D40" s="165"/>
      <c r="E40" s="165"/>
      <c r="F40" s="165"/>
      <c r="G40" s="165"/>
      <c r="H40" s="165"/>
      <c r="I40" s="96"/>
      <c r="J40" s="97"/>
    </row>
    <row r="41" spans="1:10" ht="18.600000000000001" customHeight="1">
      <c r="A41" s="7" t="s">
        <v>7</v>
      </c>
      <c r="B41" s="165" t="s">
        <v>16</v>
      </c>
      <c r="C41" s="165"/>
      <c r="D41" s="165"/>
      <c r="E41" s="166"/>
      <c r="F41" s="166"/>
      <c r="G41" s="166"/>
      <c r="H41" s="166"/>
      <c r="I41" s="97"/>
      <c r="J41" s="4"/>
    </row>
    <row r="42" spans="1:10" ht="22.9" customHeight="1">
      <c r="A42" s="28" t="s">
        <v>19</v>
      </c>
      <c r="B42" s="149" t="s">
        <v>37</v>
      </c>
      <c r="C42" s="167"/>
      <c r="D42" s="167"/>
      <c r="E42" s="167"/>
      <c r="F42" s="167"/>
      <c r="G42" s="167"/>
      <c r="H42" s="167"/>
      <c r="I42" s="98"/>
      <c r="J42" s="6"/>
    </row>
    <row r="43" spans="1:10" ht="18.600000000000001" customHeight="1">
      <c r="A43" s="1"/>
      <c r="B43" s="1"/>
      <c r="C43" s="1"/>
      <c r="D43" s="1"/>
      <c r="E43" s="1"/>
      <c r="F43" s="1"/>
      <c r="G43" s="1"/>
      <c r="H43" s="1"/>
      <c r="I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</row>
  </sheetData>
  <mergeCells count="13">
    <mergeCell ref="B42:H42"/>
    <mergeCell ref="A1:I1"/>
    <mergeCell ref="A2:A3"/>
    <mergeCell ref="B2:C2"/>
    <mergeCell ref="D2:D3"/>
    <mergeCell ref="E2:F2"/>
    <mergeCell ref="G2:G3"/>
    <mergeCell ref="H2:I2"/>
    <mergeCell ref="B37:H37"/>
    <mergeCell ref="B38:H38"/>
    <mergeCell ref="B39:H39"/>
    <mergeCell ref="B40:H40"/>
    <mergeCell ref="B41:H4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B40" sqref="B40:H40"/>
    </sheetView>
  </sheetViews>
  <sheetFormatPr defaultRowHeight="15.95" customHeight="1"/>
  <cols>
    <col min="1" max="1" width="11.28515625" customWidth="1"/>
    <col min="2" max="2" width="17.28515625" customWidth="1"/>
    <col min="3" max="3" width="15.28515625" customWidth="1"/>
    <col min="4" max="4" width="19.5703125" customWidth="1"/>
    <col min="5" max="5" width="17" customWidth="1"/>
    <col min="6" max="6" width="14.7109375" customWidth="1"/>
    <col min="7" max="7" width="21.7109375" customWidth="1"/>
    <col min="8" max="8" width="17.140625" customWidth="1"/>
    <col min="9" max="9" width="16.140625" customWidth="1"/>
    <col min="11" max="11" width="13.42578125" bestFit="1" customWidth="1"/>
  </cols>
  <sheetData>
    <row r="1" spans="1:15" ht="50.45" customHeight="1" thickBot="1">
      <c r="A1" s="151" t="s">
        <v>40</v>
      </c>
      <c r="B1" s="151"/>
      <c r="C1" s="151"/>
      <c r="D1" s="151"/>
      <c r="E1" s="151"/>
      <c r="F1" s="151"/>
      <c r="G1" s="151"/>
      <c r="H1" s="151"/>
      <c r="I1" s="151"/>
    </row>
    <row r="2" spans="1:15" ht="12.75">
      <c r="A2" s="179" t="s">
        <v>11</v>
      </c>
      <c r="B2" s="169" t="s">
        <v>2</v>
      </c>
      <c r="C2" s="170"/>
      <c r="D2" s="171" t="s">
        <v>12</v>
      </c>
      <c r="E2" s="173" t="s">
        <v>8</v>
      </c>
      <c r="F2" s="174"/>
      <c r="G2" s="175" t="s">
        <v>9</v>
      </c>
      <c r="H2" s="177" t="s">
        <v>10</v>
      </c>
      <c r="I2" s="178"/>
    </row>
    <row r="3" spans="1:15" ht="12.75">
      <c r="A3" s="180"/>
      <c r="B3" s="5" t="s">
        <v>1</v>
      </c>
      <c r="C3" s="10" t="s">
        <v>29</v>
      </c>
      <c r="D3" s="172"/>
      <c r="E3" s="2" t="s">
        <v>1</v>
      </c>
      <c r="F3" s="11" t="s">
        <v>29</v>
      </c>
      <c r="G3" s="176"/>
      <c r="H3" s="12" t="s">
        <v>1</v>
      </c>
      <c r="I3" s="13" t="s">
        <v>29</v>
      </c>
    </row>
    <row r="4" spans="1:15" ht="12.75">
      <c r="A4" s="8">
        <v>1</v>
      </c>
      <c r="B4" s="15">
        <f>831637752/1000</f>
        <v>831637.75199999998</v>
      </c>
      <c r="C4" s="16">
        <v>230779476</v>
      </c>
      <c r="D4" s="3" t="s">
        <v>14</v>
      </c>
      <c r="E4" s="15"/>
      <c r="F4" s="16"/>
      <c r="G4" s="3"/>
      <c r="H4" s="15">
        <v>2099061.8000000003</v>
      </c>
      <c r="I4" s="17">
        <v>583072722.22222221</v>
      </c>
    </row>
    <row r="5" spans="1:15" ht="12.75">
      <c r="A5" s="18">
        <f>A4+1</f>
        <v>2</v>
      </c>
      <c r="B5" s="15">
        <f>356546087/1000</f>
        <v>356546.087</v>
      </c>
      <c r="C5" s="16">
        <v>98941539.142499998</v>
      </c>
      <c r="D5" s="3" t="s">
        <v>14</v>
      </c>
      <c r="E5" s="15">
        <v>3356783.9360000002</v>
      </c>
      <c r="F5" s="16">
        <f>(E5/3.6)*1000</f>
        <v>932439982.22222221</v>
      </c>
      <c r="G5" s="3" t="s">
        <v>14</v>
      </c>
      <c r="H5" s="15">
        <v>3459796</v>
      </c>
      <c r="I5" s="17">
        <v>961054444.44444442</v>
      </c>
    </row>
    <row r="6" spans="1:15" ht="12.75">
      <c r="A6" s="18">
        <f>A5+1</f>
        <v>3</v>
      </c>
      <c r="B6" s="15">
        <f>356608444/1000</f>
        <v>356608.44400000002</v>
      </c>
      <c r="C6" s="16">
        <v>98958843.210000008</v>
      </c>
      <c r="D6" s="3" t="s">
        <v>14</v>
      </c>
      <c r="E6" s="15"/>
      <c r="F6" s="16"/>
      <c r="G6" s="3"/>
      <c r="H6" s="15">
        <v>4753707.1878876956</v>
      </c>
      <c r="I6" s="17">
        <v>1320474218.8576932</v>
      </c>
    </row>
    <row r="7" spans="1:15" ht="12.75">
      <c r="A7" s="8">
        <f t="shared" ref="A7:A33" si="0">A6+1</f>
        <v>4</v>
      </c>
      <c r="B7" s="15">
        <f>634032650/1000</f>
        <v>634032.65</v>
      </c>
      <c r="C7" s="16">
        <v>175944060.375</v>
      </c>
      <c r="D7" s="3" t="s">
        <v>14</v>
      </c>
      <c r="E7" s="15"/>
      <c r="F7" s="16"/>
      <c r="G7" s="3"/>
      <c r="H7" s="15">
        <v>4102663.5000000005</v>
      </c>
      <c r="I7" s="17">
        <v>1139628750</v>
      </c>
    </row>
    <row r="8" spans="1:15" ht="12.75">
      <c r="A8" s="8">
        <f t="shared" si="0"/>
        <v>5</v>
      </c>
      <c r="B8" s="15">
        <f>634538825/1000</f>
        <v>634538.82499999995</v>
      </c>
      <c r="C8" s="16">
        <v>176084523.9375</v>
      </c>
      <c r="D8" s="3" t="s">
        <v>14</v>
      </c>
      <c r="E8" s="15"/>
      <c r="F8" s="16"/>
      <c r="G8" s="3"/>
      <c r="H8" s="15">
        <v>3464784.7</v>
      </c>
      <c r="I8" s="17">
        <v>962440194.44444454</v>
      </c>
      <c r="K8" s="103"/>
    </row>
    <row r="9" spans="1:15" ht="12.75">
      <c r="A9" s="8">
        <f t="shared" si="0"/>
        <v>6</v>
      </c>
      <c r="B9" s="15">
        <f>634647923/1000</f>
        <v>634647.92299999995</v>
      </c>
      <c r="C9" s="16">
        <v>166949282.99601901</v>
      </c>
      <c r="D9" s="3" t="s">
        <v>14</v>
      </c>
      <c r="E9" s="15"/>
      <c r="F9" s="16"/>
      <c r="G9" s="3"/>
      <c r="H9" s="15">
        <v>2826924.0697290041</v>
      </c>
      <c r="I9" s="17">
        <v>743645302.25594699</v>
      </c>
    </row>
    <row r="10" spans="1:15" ht="12.75">
      <c r="A10" s="8">
        <f t="shared" si="0"/>
        <v>7</v>
      </c>
      <c r="B10" s="15">
        <f>753293267/1000</f>
        <v>753293.26699999999</v>
      </c>
      <c r="C10" s="16">
        <f>198.159902922078*10^6</f>
        <v>198159902.92207801</v>
      </c>
      <c r="D10" s="3" t="s">
        <v>14</v>
      </c>
      <c r="E10" s="15"/>
      <c r="F10" s="16"/>
      <c r="G10" s="3"/>
      <c r="H10" s="15">
        <v>2065549.8004270508</v>
      </c>
      <c r="I10" s="17">
        <f>543.359626143243*10^6</f>
        <v>543359626.14324296</v>
      </c>
      <c r="K10" s="104"/>
    </row>
    <row r="11" spans="1:15" ht="12.75">
      <c r="A11" s="8">
        <f t="shared" si="0"/>
        <v>8</v>
      </c>
      <c r="B11" s="15">
        <f>515341511/1000</f>
        <v>515341.511</v>
      </c>
      <c r="C11" s="16">
        <f>135.564763771448*10^6</f>
        <v>135564763.77144802</v>
      </c>
      <c r="D11" s="3" t="s">
        <v>14</v>
      </c>
      <c r="E11" s="15"/>
      <c r="F11" s="16"/>
      <c r="G11" s="3"/>
      <c r="H11" s="15">
        <v>1545195.6</v>
      </c>
      <c r="I11" s="17">
        <f>406.473895936688*10^6</f>
        <v>406473895.93668801</v>
      </c>
      <c r="O11" t="s">
        <v>38</v>
      </c>
    </row>
    <row r="12" spans="1:15" ht="12.75">
      <c r="A12" s="18">
        <f t="shared" si="0"/>
        <v>9</v>
      </c>
      <c r="B12" s="15">
        <f>237844712/1000</f>
        <v>237844.712</v>
      </c>
      <c r="C12" s="16">
        <f>62.5669803583278*10^6</f>
        <v>62566980.358327799</v>
      </c>
      <c r="D12" s="3" t="s">
        <v>14</v>
      </c>
      <c r="E12" s="15"/>
      <c r="F12" s="16"/>
      <c r="G12" s="3"/>
      <c r="H12" s="15">
        <v>1302696.2467892577</v>
      </c>
      <c r="I12" s="17">
        <f>342.684812289335*10^6</f>
        <v>342684812.28933501</v>
      </c>
    </row>
    <row r="13" spans="1:15" ht="12.75">
      <c r="A13" s="18">
        <f t="shared" si="0"/>
        <v>10</v>
      </c>
      <c r="B13" s="15">
        <f>237868909/1000</f>
        <v>237868.90900000001</v>
      </c>
      <c r="C13" s="16">
        <f>62.57334557541*10^6</f>
        <v>62573345.575410001</v>
      </c>
      <c r="D13" s="3" t="s">
        <v>14</v>
      </c>
      <c r="E13" s="15"/>
      <c r="F13" s="16"/>
      <c r="G13" s="3"/>
      <c r="H13" s="15">
        <v>1059455.478966211</v>
      </c>
      <c r="I13" s="17">
        <f>278.698355685964*10^6</f>
        <v>278698355.68596399</v>
      </c>
      <c r="K13" s="105"/>
    </row>
    <row r="14" spans="1:15" ht="12.75">
      <c r="A14" s="8">
        <f t="shared" si="0"/>
        <v>11</v>
      </c>
      <c r="B14" s="15">
        <f>635265986/1000</f>
        <v>635265.98600000003</v>
      </c>
      <c r="C14" s="16">
        <f>167111.869480519*1000</f>
        <v>167111869.480519</v>
      </c>
      <c r="D14" s="3" t="s">
        <v>14</v>
      </c>
      <c r="E14" s="15">
        <v>3323032.5260000001</v>
      </c>
      <c r="F14" s="16">
        <f>(E14/3.6)*1000</f>
        <v>923064590.55555558</v>
      </c>
      <c r="G14" s="3" t="s">
        <v>14</v>
      </c>
      <c r="H14" s="15">
        <v>488899.03787136247</v>
      </c>
      <c r="I14" s="17">
        <f>128.608856772493*10^6</f>
        <v>128608856.772493</v>
      </c>
      <c r="K14" s="105"/>
      <c r="N14" t="s">
        <v>39</v>
      </c>
    </row>
    <row r="15" spans="1:15" ht="12.75">
      <c r="A15" s="8">
        <f t="shared" si="0"/>
        <v>12</v>
      </c>
      <c r="B15" s="15">
        <f>515031135/1000</f>
        <v>515031.13500000001</v>
      </c>
      <c r="C15" s="16">
        <f>135483.116847568*1000</f>
        <v>135483116.84756798</v>
      </c>
      <c r="D15" s="3" t="s">
        <v>14</v>
      </c>
      <c r="E15" s="15"/>
      <c r="F15" s="16"/>
      <c r="G15" s="3"/>
      <c r="H15" s="15">
        <v>3236385.6861087894</v>
      </c>
      <c r="I15" s="17">
        <f>851.35750108559*10^6</f>
        <v>851357501.08559</v>
      </c>
      <c r="K15" s="105"/>
    </row>
    <row r="16" spans="1:15" ht="12.75">
      <c r="A16" s="8">
        <f t="shared" si="0"/>
        <v>13</v>
      </c>
      <c r="B16" s="15">
        <f>514305472/1000</f>
        <v>514305.47200000001</v>
      </c>
      <c r="C16" s="16">
        <f>135292.225310456*1000</f>
        <v>135292225.31045601</v>
      </c>
      <c r="D16" s="3" t="s">
        <v>14</v>
      </c>
      <c r="E16" s="15"/>
      <c r="F16" s="16"/>
      <c r="G16" s="3"/>
      <c r="H16" s="15">
        <v>2715979.0620155274</v>
      </c>
      <c r="I16" s="17">
        <f>714.46031823804*10^6</f>
        <v>714460318.23804009</v>
      </c>
    </row>
    <row r="17" spans="1:13" ht="12.75">
      <c r="A17" s="8">
        <f t="shared" si="0"/>
        <v>14</v>
      </c>
      <c r="B17" s="15">
        <f>633067165/1000</f>
        <v>633067.16500000004</v>
      </c>
      <c r="C17" s="16">
        <f>166533.451784529*1000</f>
        <v>166533451.784529</v>
      </c>
      <c r="D17" s="3" t="s">
        <v>14</v>
      </c>
      <c r="E17" s="15"/>
      <c r="F17" s="16"/>
      <c r="G17" s="3"/>
      <c r="H17" s="15">
        <v>2070317.9802257814</v>
      </c>
      <c r="I17" s="17">
        <f>544.613934508156*10^6</f>
        <v>544613934.50815606</v>
      </c>
    </row>
    <row r="18" spans="1:13" ht="12.75">
      <c r="A18" s="8">
        <f t="shared" si="0"/>
        <v>15</v>
      </c>
      <c r="B18" s="15">
        <v>732536.26399999997</v>
      </c>
      <c r="C18" s="16">
        <v>192699604.94833601</v>
      </c>
      <c r="D18" s="3" t="s">
        <v>14</v>
      </c>
      <c r="E18" s="15"/>
      <c r="F18" s="16"/>
      <c r="G18" s="3"/>
      <c r="H18" s="15">
        <v>1752185.8528657227</v>
      </c>
      <c r="I18" s="17">
        <v>460926698.42661703</v>
      </c>
    </row>
    <row r="19" spans="1:13" ht="12.75">
      <c r="A19" s="18">
        <f t="shared" si="0"/>
        <v>16</v>
      </c>
      <c r="B19" s="15">
        <v>671980.59</v>
      </c>
      <c r="C19" s="16">
        <v>176769943.80983999</v>
      </c>
      <c r="D19" s="3" t="s">
        <v>14</v>
      </c>
      <c r="E19" s="15">
        <v>3464123.0210000002</v>
      </c>
      <c r="F19" s="16">
        <v>962256394.72222221</v>
      </c>
      <c r="G19" s="3" t="s">
        <v>14</v>
      </c>
      <c r="H19" s="15">
        <v>4130686.4265001956</v>
      </c>
      <c r="I19" s="17">
        <v>1086610563.4219401</v>
      </c>
      <c r="K19" s="105"/>
    </row>
    <row r="20" spans="1:13" ht="12.75">
      <c r="A20" s="18">
        <f t="shared" si="0"/>
        <v>17</v>
      </c>
      <c r="B20" s="15">
        <v>593162.27500000002</v>
      </c>
      <c r="C20" s="16">
        <v>156036146.85041198</v>
      </c>
      <c r="D20" s="3" t="s">
        <v>14</v>
      </c>
      <c r="E20" s="15"/>
      <c r="F20" s="16"/>
      <c r="G20" s="3"/>
      <c r="H20" s="15">
        <v>3528978.8095999998</v>
      </c>
      <c r="I20" s="17">
        <v>928326495.08389401</v>
      </c>
      <c r="K20" s="105"/>
      <c r="M20" s="106"/>
    </row>
    <row r="21" spans="1:13" ht="12.75">
      <c r="A21" s="8">
        <f t="shared" si="0"/>
        <v>18</v>
      </c>
      <c r="B21" s="15">
        <v>865730.70400000003</v>
      </c>
      <c r="C21" s="16">
        <v>227737482.56706801</v>
      </c>
      <c r="D21" s="3" t="s">
        <v>14</v>
      </c>
      <c r="E21" s="15"/>
      <c r="F21" s="16"/>
      <c r="G21" s="3"/>
      <c r="H21" s="15">
        <v>3997110.081165235</v>
      </c>
      <c r="I21" s="17">
        <v>1051472222.5076801</v>
      </c>
      <c r="K21" s="105"/>
    </row>
    <row r="22" spans="1:13" ht="12.75">
      <c r="A22" s="8">
        <f t="shared" si="0"/>
        <v>19</v>
      </c>
      <c r="B22" s="15">
        <v>865983.65300000005</v>
      </c>
      <c r="C22" s="16">
        <v>227804022.85287702</v>
      </c>
      <c r="D22" s="3" t="s">
        <v>14</v>
      </c>
      <c r="E22" s="15">
        <v>3527384.878</v>
      </c>
      <c r="F22" s="16">
        <v>979829132.77777779</v>
      </c>
      <c r="G22" s="3" t="s">
        <v>14</v>
      </c>
      <c r="H22" s="15">
        <v>5318333.4067218751</v>
      </c>
      <c r="I22" s="17">
        <v>1399030733.1171901</v>
      </c>
    </row>
    <row r="23" spans="1:13" ht="12.75">
      <c r="A23" s="8">
        <f t="shared" si="0"/>
        <v>20</v>
      </c>
      <c r="B23" s="15">
        <v>866424.17500000005</v>
      </c>
      <c r="C23" s="16">
        <v>227919905.73751098</v>
      </c>
      <c r="D23" s="3" t="s">
        <v>14</v>
      </c>
      <c r="E23" s="15"/>
      <c r="F23" s="16"/>
      <c r="G23" s="3"/>
      <c r="H23" s="15">
        <v>4441894.0275970707</v>
      </c>
      <c r="I23" s="17">
        <v>1168476246.7136099</v>
      </c>
    </row>
    <row r="24" spans="1:13" ht="12.75">
      <c r="A24" s="8">
        <f t="shared" si="0"/>
        <v>21</v>
      </c>
      <c r="B24" s="15">
        <f>867018662/1000</f>
        <v>867018.66200000001</v>
      </c>
      <c r="C24" s="16">
        <f>228.076290364016*10^6</f>
        <v>228076290.364016</v>
      </c>
      <c r="D24" s="3" t="s">
        <v>14</v>
      </c>
      <c r="E24" s="15"/>
      <c r="F24" s="16"/>
      <c r="G24" s="3"/>
      <c r="H24" s="15">
        <v>3559759.0863876957</v>
      </c>
      <c r="I24" s="17">
        <f>936.423496513969*10^6</f>
        <v>936423496.51396894</v>
      </c>
    </row>
    <row r="25" spans="1:13" ht="12.75">
      <c r="A25" s="8">
        <f t="shared" si="0"/>
        <v>22</v>
      </c>
      <c r="B25" s="15">
        <f>868092373/1000</f>
        <v>868092.37300000002</v>
      </c>
      <c r="C25" s="16">
        <f>228.358738750119*10^6</f>
        <v>228358738.750119</v>
      </c>
      <c r="D25" s="3" t="s">
        <v>14</v>
      </c>
      <c r="E25" s="15">
        <v>3220615.5929999999</v>
      </c>
      <c r="F25" s="16">
        <f>(E25/3.6)*1000</f>
        <v>894615442.49999988</v>
      </c>
      <c r="G25" s="3" t="s">
        <v>14</v>
      </c>
      <c r="H25" s="15">
        <v>4224611.8193896487</v>
      </c>
      <c r="I25" s="17">
        <f>1111.31839973517*10^6</f>
        <v>1111318399.7351701</v>
      </c>
    </row>
    <row r="26" spans="1:13" ht="12.75">
      <c r="A26" s="18">
        <f t="shared" si="0"/>
        <v>23</v>
      </c>
      <c r="B26" s="15">
        <f>752356177/1000</f>
        <v>752356.17700000003</v>
      </c>
      <c r="C26" s="16">
        <f>197.91339379799*10^6</f>
        <v>197913393.79799002</v>
      </c>
      <c r="D26" s="3" t="s">
        <v>14</v>
      </c>
      <c r="E26" s="15"/>
      <c r="F26" s="16"/>
      <c r="G26" s="3"/>
      <c r="H26" s="15">
        <v>5149350.6000000006</v>
      </c>
      <c r="I26" s="17">
        <f>1354.58131630766*10^6</f>
        <v>1354581316.3076601</v>
      </c>
    </row>
    <row r="27" spans="1:13" ht="12.75">
      <c r="A27" s="18">
        <f t="shared" si="0"/>
        <v>24</v>
      </c>
      <c r="B27" s="15">
        <f>712781991/1000</f>
        <v>712781.99100000004</v>
      </c>
      <c r="C27" s="16">
        <f>187.503083233008*10^6</f>
        <v>187503083.233008</v>
      </c>
      <c r="D27" s="3" t="s">
        <v>14</v>
      </c>
      <c r="E27" s="15"/>
      <c r="F27" s="16"/>
      <c r="G27" s="3"/>
      <c r="H27" s="15">
        <v>4427290.5</v>
      </c>
      <c r="I27" s="17">
        <f>1164.63250724706*10^6</f>
        <v>1164632507.2470601</v>
      </c>
    </row>
    <row r="28" spans="1:13" ht="12.75">
      <c r="A28" s="8">
        <f t="shared" si="0"/>
        <v>25</v>
      </c>
      <c r="B28" s="15">
        <f>752582033/1000</f>
        <v>752582.03300000005</v>
      </c>
      <c r="C28" s="16">
        <f>197.972807050431*10^6</f>
        <v>197972807.05043098</v>
      </c>
      <c r="D28" s="3" t="s">
        <v>14</v>
      </c>
      <c r="E28" s="15"/>
      <c r="F28" s="16"/>
      <c r="G28" s="3"/>
      <c r="H28" s="15">
        <v>3660669.5</v>
      </c>
      <c r="I28" s="17">
        <f>962.965708794189*10^6</f>
        <v>962965708.79418898</v>
      </c>
    </row>
    <row r="29" spans="1:13" ht="12.75">
      <c r="A29" s="8">
        <f t="shared" si="0"/>
        <v>26</v>
      </c>
      <c r="B29" s="15">
        <f>868053318/1000</f>
        <v>868053.31799999997</v>
      </c>
      <c r="C29" s="16">
        <f>228.348465015641*10^6</f>
        <v>228348465.015641</v>
      </c>
      <c r="D29" s="3" t="s">
        <v>14</v>
      </c>
      <c r="E29" s="15"/>
      <c r="F29" s="16"/>
      <c r="G29" s="3"/>
      <c r="H29" s="15">
        <v>2779724.3476425787</v>
      </c>
      <c r="I29" s="17">
        <f>731.22903258206*10^6</f>
        <v>731229032.58205998</v>
      </c>
      <c r="K29" s="107"/>
    </row>
    <row r="30" spans="1:13" ht="12.75">
      <c r="A30" s="8">
        <f t="shared" si="0"/>
        <v>27</v>
      </c>
      <c r="B30" s="15">
        <f>867686938/1000</f>
        <v>867686.93799999997</v>
      </c>
      <c r="C30" s="16">
        <f>228.252085785383*10^6</f>
        <v>228252085.78538302</v>
      </c>
      <c r="D30" s="3" t="s">
        <v>14</v>
      </c>
      <c r="E30" s="15">
        <v>3322585.2680000002</v>
      </c>
      <c r="F30" s="16">
        <f>(E30/3.6)*1000</f>
        <v>922940352.22222221</v>
      </c>
      <c r="G30" s="3" t="s">
        <v>14</v>
      </c>
      <c r="H30" s="15">
        <v>1900062.6654029298</v>
      </c>
      <c r="I30" s="17">
        <f>499.826893211976*10^6</f>
        <v>499826893.21197605</v>
      </c>
      <c r="K30" s="25"/>
    </row>
    <row r="31" spans="1:13" ht="12.75">
      <c r="A31" s="8">
        <f t="shared" si="0"/>
        <v>28</v>
      </c>
      <c r="B31" s="15">
        <f>868365008/1000</f>
        <v>868365.00800000003</v>
      </c>
      <c r="C31" s="16">
        <f>228.430457597877*10^6</f>
        <v>228430457.597877</v>
      </c>
      <c r="D31" s="3" t="s">
        <v>14</v>
      </c>
      <c r="E31" s="15"/>
      <c r="F31" s="16"/>
      <c r="G31" s="3"/>
      <c r="H31" s="15">
        <v>2977134.249396875</v>
      </c>
      <c r="I31" s="17">
        <f>783.159308188106*10^6</f>
        <v>783159308.18810606</v>
      </c>
      <c r="K31" s="25"/>
    </row>
    <row r="32" spans="1:13" ht="12.75">
      <c r="A32" s="8">
        <f t="shared" si="0"/>
        <v>29</v>
      </c>
      <c r="B32" s="15">
        <f>867344301/1000</f>
        <v>867344.30099999998</v>
      </c>
      <c r="C32" s="16">
        <f>228.161952343824*10^6</f>
        <v>228161952.343824</v>
      </c>
      <c r="D32" s="3" t="s">
        <v>14</v>
      </c>
      <c r="E32" s="15"/>
      <c r="F32" s="16"/>
      <c r="G32" s="3"/>
      <c r="H32" s="15">
        <v>3478162.1408972656</v>
      </c>
      <c r="I32" s="17">
        <f>914.95875826997*10^6</f>
        <v>914958758.26996994</v>
      </c>
      <c r="K32" s="25"/>
    </row>
    <row r="33" spans="1:11" ht="12.75">
      <c r="A33" s="18">
        <f t="shared" si="0"/>
        <v>30</v>
      </c>
      <c r="B33" s="15">
        <f>514281236/1000</f>
        <v>514281.23599999998</v>
      </c>
      <c r="C33" s="16">
        <f>135.285849834107*10^6</f>
        <v>135285849.83410701</v>
      </c>
      <c r="D33" s="3" t="s">
        <v>14</v>
      </c>
      <c r="E33" s="15"/>
      <c r="F33" s="16"/>
      <c r="G33" s="3"/>
      <c r="H33" s="15">
        <v>2961812.9789888673</v>
      </c>
      <c r="I33" s="17">
        <f>779.128923755248*10^6</f>
        <v>779128923.75524807</v>
      </c>
      <c r="K33" s="25"/>
    </row>
    <row r="34" spans="1:11" ht="12.75">
      <c r="A34" s="51"/>
      <c r="B34" s="25"/>
      <c r="C34" s="25"/>
      <c r="D34" s="26"/>
      <c r="E34" s="25"/>
      <c r="F34" s="25"/>
      <c r="G34" s="26"/>
      <c r="H34" s="25"/>
      <c r="I34" s="25"/>
      <c r="K34" s="25"/>
    </row>
    <row r="35" spans="1:11" ht="12.75">
      <c r="A35" s="108"/>
      <c r="B35" s="25"/>
      <c r="C35" s="25"/>
      <c r="D35" s="26"/>
      <c r="E35" s="25"/>
      <c r="F35" s="25"/>
      <c r="G35" s="26"/>
      <c r="H35" s="25"/>
      <c r="I35" s="25"/>
    </row>
    <row r="36" spans="1:11" ht="18.600000000000001" customHeight="1">
      <c r="A36" s="7" t="s">
        <v>3</v>
      </c>
      <c r="B36" s="163" t="s">
        <v>17</v>
      </c>
      <c r="C36" s="163"/>
      <c r="D36" s="163"/>
      <c r="E36" s="164"/>
      <c r="F36" s="164"/>
      <c r="G36" s="164"/>
      <c r="H36" s="164"/>
      <c r="I36" s="99"/>
      <c r="J36" s="99"/>
    </row>
    <row r="37" spans="1:11" ht="28.15" customHeight="1">
      <c r="A37" s="7" t="s">
        <v>4</v>
      </c>
      <c r="B37" s="165" t="s">
        <v>13</v>
      </c>
      <c r="C37" s="165"/>
      <c r="D37" s="165"/>
      <c r="E37" s="165"/>
      <c r="F37" s="165"/>
      <c r="G37" s="165"/>
      <c r="H37" s="165"/>
      <c r="I37" s="100"/>
      <c r="J37" s="99"/>
    </row>
    <row r="38" spans="1:11" ht="27" customHeight="1">
      <c r="A38" s="7" t="s">
        <v>5</v>
      </c>
      <c r="B38" s="165" t="s">
        <v>18</v>
      </c>
      <c r="C38" s="165"/>
      <c r="D38" s="165"/>
      <c r="E38" s="166"/>
      <c r="F38" s="166"/>
      <c r="G38" s="166"/>
      <c r="H38" s="166"/>
      <c r="I38" s="101"/>
      <c r="J38" s="101"/>
    </row>
    <row r="39" spans="1:11" ht="18.600000000000001" customHeight="1">
      <c r="A39" s="7" t="s">
        <v>6</v>
      </c>
      <c r="B39" s="165" t="s">
        <v>0</v>
      </c>
      <c r="C39" s="165"/>
      <c r="D39" s="165"/>
      <c r="E39" s="165"/>
      <c r="F39" s="165"/>
      <c r="G39" s="165"/>
      <c r="H39" s="165"/>
      <c r="I39" s="100"/>
      <c r="J39" s="101"/>
    </row>
    <row r="40" spans="1:11" ht="18.600000000000001" customHeight="1">
      <c r="A40" s="7" t="s">
        <v>7</v>
      </c>
      <c r="B40" s="165" t="s">
        <v>41</v>
      </c>
      <c r="C40" s="165"/>
      <c r="D40" s="165"/>
      <c r="E40" s="166"/>
      <c r="F40" s="166"/>
      <c r="G40" s="166"/>
      <c r="H40" s="166"/>
      <c r="I40" s="101"/>
      <c r="J40" s="4"/>
    </row>
    <row r="41" spans="1:11" ht="22.9" customHeight="1">
      <c r="A41" s="28" t="s">
        <v>19</v>
      </c>
      <c r="B41" s="149" t="s">
        <v>37</v>
      </c>
      <c r="C41" s="167"/>
      <c r="D41" s="167"/>
      <c r="E41" s="167"/>
      <c r="F41" s="167"/>
      <c r="G41" s="167"/>
      <c r="H41" s="167"/>
      <c r="I41" s="102"/>
      <c r="J41" s="6"/>
    </row>
    <row r="42" spans="1:11" ht="12.75">
      <c r="A42" s="1"/>
      <c r="B42" s="1"/>
      <c r="C42" s="1"/>
      <c r="D42" s="1"/>
      <c r="E42" s="1"/>
      <c r="F42" s="1"/>
      <c r="G42" s="1"/>
      <c r="H42" s="1"/>
      <c r="I42" s="1"/>
    </row>
  </sheetData>
  <mergeCells count="13">
    <mergeCell ref="B41:H41"/>
    <mergeCell ref="A1:I1"/>
    <mergeCell ref="A2:A3"/>
    <mergeCell ref="B2:C2"/>
    <mergeCell ref="D2:D3"/>
    <mergeCell ref="E2:F2"/>
    <mergeCell ref="G2:G3"/>
    <mergeCell ref="H2:I2"/>
    <mergeCell ref="B36:H36"/>
    <mergeCell ref="B37:H37"/>
    <mergeCell ref="B38:H38"/>
    <mergeCell ref="B39:H39"/>
    <mergeCell ref="B40:H4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4" workbookViewId="0">
      <selection activeCell="N17" sqref="N17"/>
    </sheetView>
  </sheetViews>
  <sheetFormatPr defaultRowHeight="15.95" customHeight="1"/>
  <cols>
    <col min="1" max="1" width="11.28515625" customWidth="1"/>
    <col min="2" max="2" width="17.28515625" customWidth="1"/>
    <col min="3" max="3" width="15.28515625" customWidth="1"/>
    <col min="4" max="4" width="19.5703125" customWidth="1"/>
    <col min="5" max="5" width="17" customWidth="1"/>
    <col min="6" max="6" width="14.7109375" customWidth="1"/>
    <col min="7" max="7" width="21.7109375" customWidth="1"/>
    <col min="8" max="8" width="17.140625" customWidth="1"/>
    <col min="9" max="9" width="16.140625" customWidth="1"/>
    <col min="11" max="11" width="13.42578125" bestFit="1" customWidth="1"/>
  </cols>
  <sheetData>
    <row r="1" spans="1:15" ht="50.45" customHeight="1" thickBot="1">
      <c r="A1" s="151" t="s">
        <v>42</v>
      </c>
      <c r="B1" s="151"/>
      <c r="C1" s="151"/>
      <c r="D1" s="151"/>
      <c r="E1" s="151"/>
      <c r="F1" s="151"/>
      <c r="G1" s="151"/>
      <c r="H1" s="151"/>
      <c r="I1" s="151"/>
    </row>
    <row r="2" spans="1:15" ht="12.75">
      <c r="A2" s="179" t="s">
        <v>11</v>
      </c>
      <c r="B2" s="169" t="s">
        <v>2</v>
      </c>
      <c r="C2" s="170"/>
      <c r="D2" s="171" t="s">
        <v>12</v>
      </c>
      <c r="E2" s="173" t="s">
        <v>8</v>
      </c>
      <c r="F2" s="174"/>
      <c r="G2" s="175" t="s">
        <v>9</v>
      </c>
      <c r="H2" s="177" t="s">
        <v>10</v>
      </c>
      <c r="I2" s="178"/>
    </row>
    <row r="3" spans="1:15" ht="12.75">
      <c r="A3" s="180"/>
      <c r="B3" s="5" t="s">
        <v>1</v>
      </c>
      <c r="C3" s="10" t="s">
        <v>29</v>
      </c>
      <c r="D3" s="172"/>
      <c r="E3" s="2" t="s">
        <v>1</v>
      </c>
      <c r="F3" s="11" t="s">
        <v>29</v>
      </c>
      <c r="G3" s="176"/>
      <c r="H3" s="12" t="s">
        <v>1</v>
      </c>
      <c r="I3" s="13" t="s">
        <v>29</v>
      </c>
    </row>
    <row r="4" spans="1:15" ht="12.75">
      <c r="A4" s="18">
        <v>1</v>
      </c>
      <c r="B4" s="15">
        <f>399664071/1000</f>
        <v>399664.071</v>
      </c>
      <c r="C4" s="16">
        <f>105.134875061617*10^6</f>
        <v>105134875.061617</v>
      </c>
      <c r="D4" s="3" t="s">
        <v>14</v>
      </c>
      <c r="E4" s="15">
        <v>3475513.1370000001</v>
      </c>
      <c r="F4" s="16">
        <f>(E4/3.6)*1000</f>
        <v>965420315.83333325</v>
      </c>
      <c r="G4" s="3" t="s">
        <v>14</v>
      </c>
      <c r="H4" s="15">
        <v>2555465.872354785</v>
      </c>
      <c r="I4" s="17">
        <f>672.23602197218*10^6</f>
        <v>672236021.97218001</v>
      </c>
    </row>
    <row r="5" spans="1:15" ht="12.75">
      <c r="A5" s="8">
        <f>A4+1</f>
        <v>2</v>
      </c>
      <c r="B5" s="15">
        <f>637487620/1000</f>
        <v>637487.62</v>
      </c>
      <c r="C5" s="16">
        <f>167.696288321168*10^6</f>
        <v>167696288.32116801</v>
      </c>
      <c r="D5" s="3" t="s">
        <v>14</v>
      </c>
      <c r="E5" s="15"/>
      <c r="F5" s="16"/>
      <c r="G5" s="3"/>
      <c r="H5" s="15">
        <v>1902523.4682500004</v>
      </c>
      <c r="I5" s="17">
        <f>500.474227357451*10^6</f>
        <v>500474227.35745102</v>
      </c>
    </row>
    <row r="6" spans="1:15" ht="12.75">
      <c r="A6" s="8">
        <f>A5+1</f>
        <v>3</v>
      </c>
      <c r="B6" s="15">
        <f>637711833/1000</f>
        <v>637711.83299999998</v>
      </c>
      <c r="C6" s="16">
        <f>167.755269369135*10^6</f>
        <v>167755269.36913499</v>
      </c>
      <c r="D6" s="3" t="s">
        <v>14</v>
      </c>
      <c r="E6" s="15"/>
      <c r="F6" s="16"/>
      <c r="G6" s="3"/>
      <c r="H6" s="15">
        <v>4745246.8456550725</v>
      </c>
      <c r="I6" s="17">
        <f>1248.27566562639*10^6</f>
        <v>1248275665.62639</v>
      </c>
    </row>
    <row r="7" spans="1:15" ht="12.75">
      <c r="A7" s="8">
        <f t="shared" ref="A7:A34" si="0">A6+1</f>
        <v>4</v>
      </c>
      <c r="B7" s="15">
        <f>637096275/1000</f>
        <v>637096.27500000002</v>
      </c>
      <c r="C7" s="16">
        <f>167.593341845199*10^6</f>
        <v>167593341.84519902</v>
      </c>
      <c r="D7" s="3" t="s">
        <v>14</v>
      </c>
      <c r="E7" s="15"/>
      <c r="F7" s="16"/>
      <c r="G7" s="3"/>
      <c r="H7" s="15">
        <v>4101165.4158048797</v>
      </c>
      <c r="I7" s="17">
        <f>1078.84482214983*10^6</f>
        <v>1078844822.1498299</v>
      </c>
    </row>
    <row r="8" spans="1:15" ht="12.75">
      <c r="A8" s="8">
        <f t="shared" si="0"/>
        <v>5</v>
      </c>
      <c r="B8" s="15">
        <f>637471426/1000</f>
        <v>637471.42599999998</v>
      </c>
      <c r="C8" s="16">
        <f>167.692028358138*10^6</f>
        <v>167692028.358138</v>
      </c>
      <c r="D8" s="3" t="s">
        <v>14</v>
      </c>
      <c r="E8" s="15"/>
      <c r="F8" s="16"/>
      <c r="G8" s="3"/>
      <c r="H8" s="15">
        <v>3458168.3872482427</v>
      </c>
      <c r="I8" s="17">
        <f>909.699239227782*10^6</f>
        <v>909699239.22778201</v>
      </c>
      <c r="K8" s="103"/>
    </row>
    <row r="9" spans="1:15" ht="12.75">
      <c r="A9" s="8">
        <f t="shared" si="0"/>
        <v>6</v>
      </c>
      <c r="B9" s="15">
        <f>637302427/1000</f>
        <v>637302.42700000003</v>
      </c>
      <c r="C9" s="16">
        <f>167647.571800645*1000</f>
        <v>167647571.80064499</v>
      </c>
      <c r="D9" s="3" t="s">
        <v>14</v>
      </c>
      <c r="E9" s="15"/>
      <c r="F9" s="16"/>
      <c r="G9" s="3"/>
      <c r="H9" s="15">
        <v>2814694.9120000005</v>
      </c>
      <c r="I9" s="17">
        <f>740.428323139634*10^6</f>
        <v>740428323.13963401</v>
      </c>
    </row>
    <row r="10" spans="1:15" ht="12.75">
      <c r="A10" s="18">
        <f t="shared" si="0"/>
        <v>7</v>
      </c>
      <c r="B10" s="15">
        <f>240956730/1000</f>
        <v>240956.73</v>
      </c>
      <c r="C10" s="16">
        <f>63.3856219309887*10^6</f>
        <v>63385621.930988699</v>
      </c>
      <c r="D10" s="3" t="s">
        <v>14</v>
      </c>
      <c r="E10" s="15"/>
      <c r="F10" s="16"/>
      <c r="G10" s="3"/>
      <c r="H10" s="15">
        <v>2573859.4933241229</v>
      </c>
      <c r="I10" s="17">
        <f>677.074613136263*10^6</f>
        <v>677074613.13626301</v>
      </c>
      <c r="K10" s="104"/>
    </row>
    <row r="11" spans="1:15" ht="12.75">
      <c r="A11" s="18">
        <f t="shared" si="0"/>
        <v>8</v>
      </c>
      <c r="B11" s="15">
        <f>237104859/1000</f>
        <v>237104.859</v>
      </c>
      <c r="C11" s="16">
        <f>62.3723560266376*10^6</f>
        <v>62372356.026637599</v>
      </c>
      <c r="D11" s="3" t="s">
        <v>14</v>
      </c>
      <c r="E11" s="15">
        <v>3381846.3709999998</v>
      </c>
      <c r="F11" s="16">
        <f>(E11/3.6)*1000</f>
        <v>939401769.72222209</v>
      </c>
      <c r="G11" s="3" t="s">
        <v>14</v>
      </c>
      <c r="H11" s="15">
        <v>2464636.9038791107</v>
      </c>
      <c r="I11" s="17">
        <f>648.342725212298*10^6</f>
        <v>648342725.21229804</v>
      </c>
      <c r="O11" t="s">
        <v>38</v>
      </c>
    </row>
    <row r="12" spans="1:15" ht="12.75">
      <c r="A12" s="8">
        <f t="shared" si="0"/>
        <v>9</v>
      </c>
      <c r="B12" s="15">
        <f>355449349/1000</f>
        <v>355449.34899999999</v>
      </c>
      <c r="C12" s="16">
        <f>93.5038338681392*10^6</f>
        <v>93503833.868139192</v>
      </c>
      <c r="D12" s="3" t="s">
        <v>14</v>
      </c>
      <c r="E12" s="15"/>
      <c r="F12" s="16"/>
      <c r="G12" s="3"/>
      <c r="H12" s="15">
        <v>5360041.2961914064</v>
      </c>
      <c r="I12" s="17">
        <f>1410.00233168368*10^6</f>
        <v>1410002331.6836801</v>
      </c>
    </row>
    <row r="13" spans="1:15" ht="12.75">
      <c r="A13" s="8">
        <f t="shared" si="0"/>
        <v>10</v>
      </c>
      <c r="B13" s="15">
        <f>375673425/1000</f>
        <v>375673.42499999999</v>
      </c>
      <c r="C13" s="16">
        <f>98.8239410726135*10^6</f>
        <v>98823941.072613493</v>
      </c>
      <c r="D13" s="3" t="s">
        <v>14</v>
      </c>
      <c r="E13" s="15"/>
      <c r="F13" s="16"/>
      <c r="G13" s="3"/>
      <c r="H13" s="15">
        <v>4980763.1406455049</v>
      </c>
      <c r="I13" s="17">
        <f>1310.23013700742*10^6</f>
        <v>1310230137.0074198</v>
      </c>
      <c r="K13" s="105"/>
    </row>
    <row r="14" spans="1:15" ht="12.75">
      <c r="A14" s="8">
        <f t="shared" si="0"/>
        <v>11</v>
      </c>
      <c r="B14" s="15">
        <f>375135284/1000</f>
        <v>375135.28399999999</v>
      </c>
      <c r="C14" s="16">
        <f>98.6823787183619*10^6</f>
        <v>98682378.718361899</v>
      </c>
      <c r="D14" s="3" t="s">
        <v>14</v>
      </c>
      <c r="E14" s="15"/>
      <c r="F14" s="16"/>
      <c r="G14" s="3"/>
      <c r="H14" s="15">
        <v>4597291.5834992072</v>
      </c>
      <c r="I14" s="17">
        <f>1209.35483403264*10^6</f>
        <v>1209354834.03264</v>
      </c>
      <c r="K14" s="105"/>
      <c r="N14" t="s">
        <v>39</v>
      </c>
    </row>
    <row r="15" spans="1:15" ht="12.75">
      <c r="A15" s="8">
        <f t="shared" si="0"/>
        <v>12</v>
      </c>
      <c r="B15" s="15">
        <f>375438157/1000</f>
        <v>375438.15700000001</v>
      </c>
      <c r="C15" s="16">
        <f>98.7620519172433*10^6</f>
        <v>98762051.917243302</v>
      </c>
      <c r="D15" s="3" t="s">
        <v>14</v>
      </c>
      <c r="E15" s="15"/>
      <c r="F15" s="16"/>
      <c r="G15" s="3"/>
      <c r="H15" s="15">
        <v>4211624.63473476</v>
      </c>
      <c r="I15" s="17">
        <f>1107.90201548857*10^6</f>
        <v>1107902015.48857</v>
      </c>
      <c r="K15" s="105"/>
    </row>
    <row r="16" spans="1:15" ht="12.75">
      <c r="A16" s="8">
        <f t="shared" si="0"/>
        <v>13</v>
      </c>
      <c r="B16" s="15">
        <f>375438797/1000</f>
        <v>375438.79700000002</v>
      </c>
      <c r="C16" s="16">
        <f>98.7622202744336*10^6</f>
        <v>98762220.274433598</v>
      </c>
      <c r="D16" s="3" t="s">
        <v>14</v>
      </c>
      <c r="E16" s="15"/>
      <c r="F16" s="16"/>
      <c r="G16" s="3"/>
      <c r="H16" s="15">
        <v>3832036.9924490149</v>
      </c>
      <c r="I16" s="17">
        <f>1008.04840781553*10^6</f>
        <v>1008048407.8155301</v>
      </c>
    </row>
    <row r="17" spans="1:13" ht="12.75">
      <c r="A17" s="18">
        <f t="shared" si="0"/>
        <v>14</v>
      </c>
      <c r="B17" s="15">
        <f>276798858/1000</f>
        <v>276798.85800000001</v>
      </c>
      <c r="C17" s="16">
        <f>72.8141843729263*10^6</f>
        <v>72814184.37292631</v>
      </c>
      <c r="D17" s="3" t="s">
        <v>14</v>
      </c>
      <c r="E17" s="15"/>
      <c r="F17" s="16"/>
      <c r="G17" s="3"/>
      <c r="H17" s="15">
        <v>3553238.7852587979</v>
      </c>
      <c r="I17" s="17">
        <f>934.708278423847*10^6</f>
        <v>934708278.42384696</v>
      </c>
    </row>
    <row r="18" spans="1:13" ht="12.75">
      <c r="A18" s="18">
        <f t="shared" si="0"/>
        <v>15</v>
      </c>
      <c r="B18" s="15">
        <f>276845112/1000</f>
        <v>276845.11200000002</v>
      </c>
      <c r="C18" s="16">
        <f>72.8263518627358*10^6</f>
        <v>72826351.862735808</v>
      </c>
      <c r="D18" s="3" t="s">
        <v>14</v>
      </c>
      <c r="E18" s="15"/>
      <c r="F18" s="16"/>
      <c r="G18" s="3"/>
      <c r="H18" s="15">
        <v>3269705.9339846759</v>
      </c>
      <c r="I18" s="17">
        <f>860.122662509003*10^6</f>
        <v>860122662.50900304</v>
      </c>
    </row>
    <row r="19" spans="1:13" ht="12.75">
      <c r="A19" s="8">
        <f t="shared" si="0"/>
        <v>16</v>
      </c>
      <c r="B19" s="15">
        <v>594128.34199999995</v>
      </c>
      <c r="C19" s="16">
        <f>156.292964958764*10^6</f>
        <v>156292964.95876402</v>
      </c>
      <c r="D19" s="3" t="s">
        <v>14</v>
      </c>
      <c r="E19" s="15"/>
      <c r="F19" s="16"/>
      <c r="G19" s="3"/>
      <c r="H19" s="15">
        <v>2665343.0070913103</v>
      </c>
      <c r="I19" s="17">
        <f>701.140093343292*10^6</f>
        <v>701140093.343292</v>
      </c>
      <c r="K19" s="105"/>
    </row>
    <row r="20" spans="1:13" ht="12.75">
      <c r="A20" s="8">
        <f t="shared" si="0"/>
        <v>17</v>
      </c>
      <c r="B20" s="15">
        <v>592950.87899999996</v>
      </c>
      <c r="C20" s="16">
        <f>156.343535249787*10^6</f>
        <v>156343535.249787</v>
      </c>
      <c r="D20" s="3" t="s">
        <v>14</v>
      </c>
      <c r="E20" s="15"/>
      <c r="F20" s="16"/>
      <c r="G20" s="3"/>
      <c r="H20" s="15">
        <v>2064143.3365005867</v>
      </c>
      <c r="I20" s="17">
        <f>542.989644401282*10^6</f>
        <v>542989644.40128207</v>
      </c>
      <c r="K20" s="105"/>
      <c r="M20" s="106"/>
    </row>
    <row r="21" spans="1:13" ht="12.75">
      <c r="A21" s="8">
        <f t="shared" si="0"/>
        <v>18</v>
      </c>
      <c r="B21" s="15">
        <f>594412398/1000</f>
        <v>594412.39800000004</v>
      </c>
      <c r="C21" s="16">
        <f>156.365001843777*10^6</f>
        <v>156365001.843777</v>
      </c>
      <c r="D21" s="3" t="s">
        <v>14</v>
      </c>
      <c r="E21" s="15"/>
      <c r="F21" s="16"/>
      <c r="G21" s="3"/>
      <c r="H21" s="15">
        <v>1460404.3535589364</v>
      </c>
      <c r="I21" s="17">
        <f>384.171208752114*10^6</f>
        <v>384171208.752114</v>
      </c>
      <c r="K21" s="105"/>
    </row>
    <row r="22" spans="1:13" ht="12.75">
      <c r="A22" s="8">
        <f t="shared" si="0"/>
        <v>19</v>
      </c>
      <c r="B22" s="15">
        <f>555124664/1000</f>
        <v>555124.66399999999</v>
      </c>
      <c r="C22" s="16">
        <f>146.030044800455*10^6</f>
        <v>146030044.80045497</v>
      </c>
      <c r="D22" s="3" t="s">
        <v>14</v>
      </c>
      <c r="E22" s="15"/>
      <c r="F22" s="16"/>
      <c r="G22" s="3"/>
      <c r="H22" s="15">
        <v>899288.72521684493</v>
      </c>
      <c r="I22" s="17">
        <f>236.565192196108*10^6</f>
        <v>236565192.19610801</v>
      </c>
    </row>
    <row r="23" spans="1:13" ht="12.75">
      <c r="A23" s="8">
        <f t="shared" si="0"/>
        <v>20</v>
      </c>
      <c r="B23" s="15">
        <f>749363005/1000</f>
        <v>749363.005</v>
      </c>
      <c r="C23" s="16">
        <f>197.126015629444*10^6</f>
        <v>197126015.629444</v>
      </c>
      <c r="D23" s="3" t="s">
        <v>14</v>
      </c>
      <c r="E23" s="15">
        <v>3401255.8539999998</v>
      </c>
      <c r="F23" s="16">
        <f>(E23/3.6)*1000</f>
        <v>944793292.77777767</v>
      </c>
      <c r="G23" s="3" t="s">
        <v>14</v>
      </c>
      <c r="H23" s="15">
        <v>1552839.5031200193</v>
      </c>
      <c r="I23" s="17">
        <f>408.487024472277*10^6</f>
        <v>408487024.47227705</v>
      </c>
    </row>
    <row r="24" spans="1:13" ht="12.75">
      <c r="A24" s="18">
        <f t="shared" si="0"/>
        <v>21</v>
      </c>
      <c r="B24" s="15">
        <f>711961424/1000</f>
        <v>711961.424</v>
      </c>
      <c r="C24" s="16">
        <f>187.287226429045*10^6</f>
        <v>187287226.42904499</v>
      </c>
      <c r="D24" s="3" t="s">
        <v>14</v>
      </c>
      <c r="E24" s="15"/>
      <c r="F24" s="16"/>
      <c r="G24" s="3"/>
      <c r="H24" s="15">
        <v>2831926.6402204209</v>
      </c>
      <c r="I24" s="17">
        <f>744.961268993428*10^6</f>
        <v>744961268.99342799</v>
      </c>
    </row>
    <row r="25" spans="1:13" ht="12.75">
      <c r="A25" s="18">
        <f t="shared" si="0"/>
        <v>22</v>
      </c>
      <c r="B25" s="15">
        <f>553282360/1000</f>
        <v>553282.36</v>
      </c>
      <c r="C25" s="16">
        <f>145.545411792587*10^6</f>
        <v>145545411.79258701</v>
      </c>
      <c r="D25" s="3" t="s">
        <v>14</v>
      </c>
      <c r="E25" s="15"/>
      <c r="F25" s="16"/>
      <c r="G25" s="3"/>
      <c r="H25" s="15">
        <v>2271324.2280858392</v>
      </c>
      <c r="I25" s="17">
        <f>597.490258122874*10^6</f>
        <v>597490258.12287402</v>
      </c>
    </row>
    <row r="26" spans="1:13" ht="12.75">
      <c r="A26" s="8">
        <f t="shared" si="0"/>
        <v>23</v>
      </c>
      <c r="B26" s="15">
        <f>849770142/1000</f>
        <v>849770.14199999999</v>
      </c>
      <c r="C26" s="16">
        <f>223.538927296426*10^6</f>
        <v>223538927.296426</v>
      </c>
      <c r="D26" s="3" t="s">
        <v>14</v>
      </c>
      <c r="E26" s="15"/>
      <c r="F26" s="16"/>
      <c r="G26" s="3"/>
      <c r="H26" s="15">
        <v>1399610.6300345697</v>
      </c>
      <c r="I26" s="17">
        <f>368.178926755705*10^6</f>
        <v>368178926.755705</v>
      </c>
    </row>
    <row r="27" spans="1:13" ht="12.75">
      <c r="A27" s="8">
        <f t="shared" si="0"/>
        <v>24</v>
      </c>
      <c r="B27" s="15">
        <f>851147769/1000</f>
        <v>851147.76899999997</v>
      </c>
      <c r="C27" s="16">
        <f>223.901323251019*10^6</f>
        <v>223901323.251019</v>
      </c>
      <c r="D27" s="3" t="s">
        <v>14</v>
      </c>
      <c r="E27" s="15">
        <v>3370984.8489999999</v>
      </c>
      <c r="F27" s="16">
        <f>(E27/3.6)*1000</f>
        <v>936384680.27777767</v>
      </c>
      <c r="G27" s="3" t="s">
        <v>14</v>
      </c>
      <c r="H27" s="15">
        <v>2177527.9476985363</v>
      </c>
      <c r="I27" s="17">
        <f>572.816385900411*10^6</f>
        <v>572816385.90041101</v>
      </c>
    </row>
    <row r="28" spans="1:13" ht="12.75">
      <c r="A28" s="8">
        <f t="shared" si="0"/>
        <v>25</v>
      </c>
      <c r="B28" s="15">
        <f>758758143/1000</f>
        <v>758758.14300000004</v>
      </c>
      <c r="C28" s="16">
        <f>199.597482872784*10^6</f>
        <v>199597482.87278402</v>
      </c>
      <c r="D28" s="3" t="s">
        <v>14</v>
      </c>
      <c r="E28" s="15"/>
      <c r="F28" s="16"/>
      <c r="G28" s="3"/>
      <c r="H28" s="15">
        <v>3161963.9463500003</v>
      </c>
      <c r="I28" s="17">
        <f>831.780258898592*10^6</f>
        <v>831780258.898592</v>
      </c>
    </row>
    <row r="29" spans="1:13" ht="12.75">
      <c r="A29" s="8">
        <f t="shared" si="0"/>
        <v>26</v>
      </c>
      <c r="B29" s="15">
        <f>717524.395</f>
        <v>717524.39500000002</v>
      </c>
      <c r="C29" s="16">
        <f>189.301288757228*10^6</f>
        <v>189301288.75722802</v>
      </c>
      <c r="D29" s="3" t="s">
        <v>14</v>
      </c>
      <c r="E29" s="15"/>
      <c r="F29" s="16"/>
      <c r="G29" s="3"/>
      <c r="H29" s="15">
        <v>2432588.2584478608</v>
      </c>
      <c r="I29" s="17">
        <f>639.912069124354*10^6</f>
        <v>639912069.124354</v>
      </c>
      <c r="K29" s="107"/>
    </row>
    <row r="30" spans="1:13" ht="12.75">
      <c r="A30" s="8">
        <f t="shared" si="0"/>
        <v>27</v>
      </c>
      <c r="B30" s="15">
        <v>858530.21100000001</v>
      </c>
      <c r="C30" s="16">
        <f>225.843334489051*10^6</f>
        <v>225843334.48905098</v>
      </c>
      <c r="D30" s="3" t="s">
        <v>14</v>
      </c>
      <c r="E30" s="15"/>
      <c r="F30" s="16"/>
      <c r="G30" s="3"/>
      <c r="H30" s="15">
        <v>1559721.7504284184</v>
      </c>
      <c r="I30" s="17">
        <f>410.297455440218*10^6</f>
        <v>410297455.44021803</v>
      </c>
      <c r="K30" s="25"/>
    </row>
    <row r="31" spans="1:13" ht="12.75">
      <c r="A31" s="18">
        <f t="shared" si="0"/>
        <v>28</v>
      </c>
      <c r="B31" s="15">
        <v>621273.19299999997</v>
      </c>
      <c r="C31" s="16">
        <f>163.430951803488*10^6</f>
        <v>163430951.80348799</v>
      </c>
      <c r="D31" s="3" t="s">
        <v>14</v>
      </c>
      <c r="E31" s="15">
        <v>3323855.6630000002</v>
      </c>
      <c r="F31" s="16">
        <f>(E31/3.6)*1000</f>
        <v>923293239.72222221</v>
      </c>
      <c r="G31" s="3" t="s">
        <v>14</v>
      </c>
      <c r="H31" s="15">
        <v>2434540.037051755</v>
      </c>
      <c r="I31" s="17">
        <f>640.425500314591*10^6</f>
        <v>640425500.31459093</v>
      </c>
      <c r="K31" s="25"/>
    </row>
    <row r="32" spans="1:13" ht="12.75">
      <c r="A32" s="18">
        <f t="shared" si="0"/>
        <v>29</v>
      </c>
      <c r="B32" s="15">
        <v>342944.495</v>
      </c>
      <c r="C32" s="16">
        <f>90.2143306119063*10^6</f>
        <v>90214330.611906305</v>
      </c>
      <c r="D32" s="3" t="s">
        <v>14</v>
      </c>
      <c r="E32" s="15"/>
      <c r="F32" s="16"/>
      <c r="G32" s="3"/>
      <c r="H32" s="15">
        <v>3931213.8387421872</v>
      </c>
      <c r="I32" s="17">
        <f>1034.1376815347*10^6</f>
        <v>1034137681.5347</v>
      </c>
      <c r="K32" s="25"/>
    </row>
    <row r="33" spans="1:11" ht="12.75">
      <c r="A33" s="8">
        <f t="shared" si="0"/>
        <v>30</v>
      </c>
      <c r="B33" s="15">
        <v>680062.28099999996</v>
      </c>
      <c r="C33" s="16">
        <f>178.895898168073*10^6</f>
        <v>178895898.168073</v>
      </c>
      <c r="D33" s="3" t="s">
        <v>14</v>
      </c>
      <c r="E33" s="15"/>
      <c r="F33" s="16"/>
      <c r="G33" s="3"/>
      <c r="H33" s="15">
        <v>3236018.4700312498</v>
      </c>
      <c r="I33" s="17">
        <f>851.260901918354*10^6</f>
        <v>851260901.91835392</v>
      </c>
      <c r="K33" s="25"/>
    </row>
    <row r="34" spans="1:11" ht="12.75">
      <c r="A34" s="8">
        <f t="shared" si="0"/>
        <v>31</v>
      </c>
      <c r="B34" s="15">
        <v>640464.929</v>
      </c>
      <c r="C34" s="16">
        <f>168.479493598919*10^6</f>
        <v>168479493.598919</v>
      </c>
      <c r="D34" s="3" t="s">
        <v>14</v>
      </c>
      <c r="E34" s="15"/>
      <c r="F34" s="16"/>
      <c r="G34" s="3"/>
      <c r="H34" s="15">
        <v>2586270.7020765627</v>
      </c>
      <c r="I34" s="17">
        <f>680.339482250684*10^6</f>
        <v>680339482.25068402</v>
      </c>
      <c r="K34" s="25"/>
    </row>
    <row r="35" spans="1:11" ht="12.75">
      <c r="A35" s="108"/>
      <c r="B35" s="25"/>
      <c r="C35" s="25"/>
      <c r="D35" s="26"/>
      <c r="E35" s="25"/>
      <c r="F35" s="25"/>
      <c r="G35" s="26"/>
      <c r="H35" s="25"/>
      <c r="I35" s="25"/>
    </row>
    <row r="36" spans="1:11" ht="30.6" customHeight="1">
      <c r="A36" s="7" t="s">
        <v>3</v>
      </c>
      <c r="B36" s="163" t="s">
        <v>17</v>
      </c>
      <c r="C36" s="163"/>
      <c r="D36" s="163"/>
      <c r="E36" s="164"/>
      <c r="F36" s="164"/>
      <c r="G36" s="164"/>
      <c r="H36" s="164"/>
      <c r="I36" s="109"/>
      <c r="J36" s="109"/>
    </row>
    <row r="37" spans="1:11" ht="30.6" customHeight="1">
      <c r="A37" s="7" t="s">
        <v>4</v>
      </c>
      <c r="B37" s="165" t="s">
        <v>13</v>
      </c>
      <c r="C37" s="165"/>
      <c r="D37" s="165"/>
      <c r="E37" s="165"/>
      <c r="F37" s="165"/>
      <c r="G37" s="165"/>
      <c r="H37" s="165"/>
      <c r="I37" s="110"/>
      <c r="J37" s="109"/>
    </row>
    <row r="38" spans="1:11" ht="30.6" customHeight="1">
      <c r="A38" s="7" t="s">
        <v>5</v>
      </c>
      <c r="B38" s="165" t="s">
        <v>18</v>
      </c>
      <c r="C38" s="165"/>
      <c r="D38" s="165"/>
      <c r="E38" s="166"/>
      <c r="F38" s="166"/>
      <c r="G38" s="166"/>
      <c r="H38" s="166"/>
      <c r="I38" s="111"/>
      <c r="J38" s="111"/>
    </row>
    <row r="39" spans="1:11" ht="30.6" customHeight="1">
      <c r="A39" s="7" t="s">
        <v>6</v>
      </c>
      <c r="B39" s="165" t="s">
        <v>0</v>
      </c>
      <c r="C39" s="165"/>
      <c r="D39" s="165"/>
      <c r="E39" s="165"/>
      <c r="F39" s="165"/>
      <c r="G39" s="165"/>
      <c r="H39" s="165"/>
      <c r="I39" s="110"/>
      <c r="J39" s="111"/>
    </row>
    <row r="40" spans="1:11" ht="30.6" customHeight="1">
      <c r="A40" s="7" t="s">
        <v>7</v>
      </c>
      <c r="B40" s="165" t="s">
        <v>41</v>
      </c>
      <c r="C40" s="165"/>
      <c r="D40" s="165"/>
      <c r="E40" s="166"/>
      <c r="F40" s="166"/>
      <c r="G40" s="166"/>
      <c r="H40" s="166"/>
      <c r="I40" s="111"/>
      <c r="J40" s="4"/>
    </row>
    <row r="41" spans="1:11" ht="30.6" customHeight="1">
      <c r="A41" s="28" t="s">
        <v>19</v>
      </c>
      <c r="B41" s="149" t="s">
        <v>37</v>
      </c>
      <c r="C41" s="167"/>
      <c r="D41" s="167"/>
      <c r="E41" s="167"/>
      <c r="F41" s="167"/>
      <c r="G41" s="167"/>
      <c r="H41" s="167"/>
      <c r="I41" s="112"/>
      <c r="J41" s="6"/>
    </row>
    <row r="42" spans="1:11" ht="30.6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11" ht="30.6" customHeight="1">
      <c r="A43" s="1"/>
      <c r="B43" s="1"/>
      <c r="C43" s="1"/>
      <c r="D43" s="1"/>
      <c r="E43" s="1"/>
      <c r="F43" s="1"/>
      <c r="G43" s="1"/>
      <c r="H43" s="1"/>
      <c r="I43" s="1"/>
    </row>
  </sheetData>
  <mergeCells count="13">
    <mergeCell ref="B41:H41"/>
    <mergeCell ref="A1:I1"/>
    <mergeCell ref="A2:A3"/>
    <mergeCell ref="B2:C2"/>
    <mergeCell ref="D2:D3"/>
    <mergeCell ref="E2:F2"/>
    <mergeCell ref="G2:G3"/>
    <mergeCell ref="H2:I2"/>
    <mergeCell ref="B36:H36"/>
    <mergeCell ref="B37:H37"/>
    <mergeCell ref="B38:H38"/>
    <mergeCell ref="B39:H39"/>
    <mergeCell ref="B40:H4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N21" sqref="N21"/>
    </sheetView>
  </sheetViews>
  <sheetFormatPr defaultRowHeight="15.95" customHeight="1"/>
  <cols>
    <col min="1" max="1" width="11.28515625" customWidth="1"/>
    <col min="2" max="2" width="17.28515625" customWidth="1"/>
    <col min="3" max="3" width="15.28515625" customWidth="1"/>
    <col min="4" max="4" width="19.5703125" customWidth="1"/>
    <col min="5" max="5" width="17" customWidth="1"/>
    <col min="6" max="6" width="14.7109375" customWidth="1"/>
    <col min="7" max="7" width="21.7109375" customWidth="1"/>
    <col min="8" max="8" width="17.140625" customWidth="1"/>
    <col min="9" max="9" width="16.140625" customWidth="1"/>
    <col min="11" max="11" width="13.42578125" bestFit="1" customWidth="1"/>
  </cols>
  <sheetData>
    <row r="1" spans="1:15" ht="50.45" customHeight="1" thickBot="1">
      <c r="A1" s="151" t="s">
        <v>43</v>
      </c>
      <c r="B1" s="151"/>
      <c r="C1" s="151"/>
      <c r="D1" s="151"/>
      <c r="E1" s="151"/>
      <c r="F1" s="151"/>
      <c r="G1" s="151"/>
      <c r="H1" s="151"/>
      <c r="I1" s="151"/>
    </row>
    <row r="2" spans="1:15" ht="12.75">
      <c r="A2" s="179" t="s">
        <v>11</v>
      </c>
      <c r="B2" s="169" t="s">
        <v>2</v>
      </c>
      <c r="C2" s="170"/>
      <c r="D2" s="171" t="s">
        <v>12</v>
      </c>
      <c r="E2" s="173" t="s">
        <v>8</v>
      </c>
      <c r="F2" s="174"/>
      <c r="G2" s="175" t="s">
        <v>9</v>
      </c>
      <c r="H2" s="177" t="s">
        <v>10</v>
      </c>
      <c r="I2" s="178"/>
    </row>
    <row r="3" spans="1:15" ht="12.75">
      <c r="A3" s="180"/>
      <c r="B3" s="5" t="s">
        <v>1</v>
      </c>
      <c r="C3" s="10" t="s">
        <v>29</v>
      </c>
      <c r="D3" s="172"/>
      <c r="E3" s="2" t="s">
        <v>1</v>
      </c>
      <c r="F3" s="11" t="s">
        <v>29</v>
      </c>
      <c r="G3" s="176"/>
      <c r="H3" s="12" t="s">
        <v>1</v>
      </c>
      <c r="I3" s="13" t="s">
        <v>29</v>
      </c>
    </row>
    <row r="4" spans="1:15" ht="12.75">
      <c r="A4" s="8">
        <v>1</v>
      </c>
      <c r="B4" s="15">
        <f>851038550/1000</f>
        <v>851038.55</v>
      </c>
      <c r="C4" s="16">
        <f>223.872592307328*10^6</f>
        <v>223872592.30732802</v>
      </c>
      <c r="D4" s="3" t="s">
        <v>14</v>
      </c>
      <c r="E4" s="15">
        <f>3464712851/1000</f>
        <v>3464712.8509999998</v>
      </c>
      <c r="F4" s="16">
        <f>(E4/3.6)*1000</f>
        <v>962420236.38888884</v>
      </c>
      <c r="G4" s="3" t="s">
        <v>14</v>
      </c>
      <c r="H4" s="15">
        <v>2961812.9789888673</v>
      </c>
      <c r="I4" s="17">
        <v>779128923.75524807</v>
      </c>
    </row>
    <row r="5" spans="1:15" ht="12.75">
      <c r="A5" s="8">
        <f>A4+1</f>
        <v>2</v>
      </c>
      <c r="B5" s="15">
        <f>631820140/1000</f>
        <v>631820.14</v>
      </c>
      <c r="C5" s="16">
        <f>166.205411745189*10^6</f>
        <v>166205411.74518901</v>
      </c>
      <c r="D5" s="3" t="s">
        <v>14</v>
      </c>
      <c r="E5" s="15"/>
      <c r="F5" s="16"/>
      <c r="G5" s="3"/>
      <c r="H5" s="15">
        <v>3397690.3000000003</v>
      </c>
      <c r="I5" s="17">
        <v>893789987.91354609</v>
      </c>
    </row>
    <row r="6" spans="1:15" ht="12.75">
      <c r="A6" s="8">
        <f>A5+1</f>
        <v>3</v>
      </c>
      <c r="B6" s="15">
        <f>711318595/1000</f>
        <v>711318.59499999997</v>
      </c>
      <c r="C6" s="16">
        <f>187.118125047398*10^6</f>
        <v>187118125.047398</v>
      </c>
      <c r="D6" s="3" t="s">
        <v>14</v>
      </c>
      <c r="E6" s="15"/>
      <c r="F6" s="16"/>
      <c r="G6" s="3"/>
      <c r="H6" s="15">
        <v>4572261.0050214846</v>
      </c>
      <c r="I6" s="17">
        <f>10^6*1202.77033737175</f>
        <v>1202770337.3717499</v>
      </c>
    </row>
    <row r="7" spans="1:15" ht="12.75">
      <c r="A7" s="18">
        <f t="shared" ref="A7:A33" si="0">A6+1</f>
        <v>4</v>
      </c>
      <c r="B7" s="15">
        <f>651877718/1000</f>
        <v>651877.71799999999</v>
      </c>
      <c r="C7" s="16">
        <f>171.48172*10^6</f>
        <v>171481720</v>
      </c>
      <c r="D7" s="3" t="s">
        <v>14</v>
      </c>
      <c r="E7" s="15"/>
      <c r="F7" s="16"/>
      <c r="G7" s="3"/>
      <c r="H7" s="15">
        <v>3846625.1</v>
      </c>
      <c r="I7" s="17">
        <f>10^6*1011.88592781306</f>
        <v>1011885927.81306</v>
      </c>
    </row>
    <row r="8" spans="1:15" ht="12.75">
      <c r="A8" s="18">
        <f t="shared" si="0"/>
        <v>5</v>
      </c>
      <c r="B8" s="15">
        <f>671997335/1000</f>
        <v>671997.33499999996</v>
      </c>
      <c r="C8" s="16">
        <f>176.774349*10^6</f>
        <v>176774349</v>
      </c>
      <c r="D8" s="3" t="s">
        <v>14</v>
      </c>
      <c r="E8" s="15">
        <v>3473071.9139999999</v>
      </c>
      <c r="F8" s="16">
        <f>(E8/3.6)*1000</f>
        <v>964742198.33333325</v>
      </c>
      <c r="G8" s="3" t="s">
        <v>14</v>
      </c>
      <c r="H8" s="15">
        <v>3190333.9000000004</v>
      </c>
      <c r="I8" s="17">
        <f>10^6*839.243205280122</f>
        <v>839243205.28012192</v>
      </c>
      <c r="K8" s="103"/>
    </row>
    <row r="9" spans="1:15" ht="12.75">
      <c r="A9" s="8">
        <f t="shared" si="0"/>
        <v>6</v>
      </c>
      <c r="B9" s="15">
        <v>711368.30700000003</v>
      </c>
      <c r="C9" s="16">
        <v>187131202</v>
      </c>
      <c r="D9" s="3" t="s">
        <v>14</v>
      </c>
      <c r="E9" s="15"/>
      <c r="F9" s="16"/>
      <c r="G9" s="3"/>
      <c r="H9" s="15">
        <v>3871665</v>
      </c>
      <c r="I9" s="17">
        <v>1018472876.5759799</v>
      </c>
    </row>
    <row r="10" spans="1:15" ht="12.75">
      <c r="A10" s="8">
        <f t="shared" si="0"/>
        <v>7</v>
      </c>
      <c r="B10" s="15">
        <v>712063.87699999998</v>
      </c>
      <c r="C10" s="16">
        <f>187.314177521566*10^6</f>
        <v>187314177.521566</v>
      </c>
      <c r="D10" s="3" t="s">
        <v>14</v>
      </c>
      <c r="E10" s="15"/>
      <c r="F10" s="16"/>
      <c r="G10" s="3"/>
      <c r="H10" s="15">
        <v>4555275.8840755774</v>
      </c>
      <c r="I10" s="17">
        <f>1198.30226356145*10^6</f>
        <v>1198302263.56145</v>
      </c>
      <c r="K10" s="104"/>
    </row>
    <row r="11" spans="1:15" ht="12.75">
      <c r="A11" s="8">
        <f t="shared" si="0"/>
        <v>8</v>
      </c>
      <c r="B11" s="15">
        <f>810857425/1000</f>
        <v>810857.42500000005</v>
      </c>
      <c r="C11" s="16">
        <f>213.302621516257*10^6</f>
        <v>213302621.51625702</v>
      </c>
      <c r="D11" s="3" t="s">
        <v>14</v>
      </c>
      <c r="E11" s="15"/>
      <c r="F11" s="16"/>
      <c r="G11" s="3"/>
      <c r="H11" s="15">
        <v>3731412.8405195437</v>
      </c>
      <c r="I11" s="17">
        <f>981.578408611407*10^6</f>
        <v>981578408.61140704</v>
      </c>
      <c r="O11" t="s">
        <v>38</v>
      </c>
    </row>
    <row r="12" spans="1:15" ht="12.75">
      <c r="A12" s="8">
        <f t="shared" si="0"/>
        <v>9</v>
      </c>
      <c r="B12" s="15">
        <f>850608182/1000</f>
        <v>850608.18200000003</v>
      </c>
      <c r="C12" s="16">
        <f>223.759380514741*10^6</f>
        <v>223759380.514741</v>
      </c>
      <c r="D12" s="3" t="s">
        <v>14</v>
      </c>
      <c r="E12" s="15"/>
      <c r="F12" s="16"/>
      <c r="G12" s="3"/>
      <c r="H12" s="15">
        <v>2871576.9938138705</v>
      </c>
      <c r="I12" s="17">
        <f>755.391616061569*10^6</f>
        <v>755391616.06156909</v>
      </c>
    </row>
    <row r="13" spans="1:15" ht="12.75">
      <c r="A13" s="8">
        <f t="shared" si="0"/>
        <v>10</v>
      </c>
      <c r="B13" s="15">
        <f>850097715/1000</f>
        <v>850097.71499999997</v>
      </c>
      <c r="C13" s="16">
        <f>223.625098030619*10^6</f>
        <v>223625098.030619</v>
      </c>
      <c r="D13" s="3" t="s">
        <v>14</v>
      </c>
      <c r="E13" s="15"/>
      <c r="F13" s="16"/>
      <c r="G13" s="3"/>
      <c r="H13" s="15">
        <v>2011050.1916120122</v>
      </c>
      <c r="I13" s="17">
        <f>529.023062064967*10^6</f>
        <v>529023062.06496704</v>
      </c>
      <c r="K13" s="105"/>
    </row>
    <row r="14" spans="1:15" ht="12.75">
      <c r="A14" s="18">
        <f t="shared" si="0"/>
        <v>11</v>
      </c>
      <c r="B14" s="15">
        <f>403101727/1000</f>
        <v>403101.72700000001</v>
      </c>
      <c r="C14" s="16">
        <f>106.039178351029*10^6</f>
        <v>106039178.35102899</v>
      </c>
      <c r="D14" s="3" t="s">
        <v>14</v>
      </c>
      <c r="E14" s="15"/>
      <c r="F14" s="16"/>
      <c r="G14" s="3"/>
      <c r="H14" s="15">
        <v>1611449.1533299808</v>
      </c>
      <c r="I14" s="17">
        <f>423.904768270992*10^6</f>
        <v>423904768.27099198</v>
      </c>
      <c r="K14" s="105"/>
      <c r="N14" t="s">
        <v>39</v>
      </c>
    </row>
    <row r="15" spans="1:15" ht="12.75">
      <c r="A15" s="18">
        <f t="shared" si="0"/>
        <v>12</v>
      </c>
      <c r="B15" s="15">
        <f>447370839/1000</f>
        <v>447370.83899999998</v>
      </c>
      <c r="C15" s="16">
        <f>117.684527275097*10^6</f>
        <v>117684527.275097</v>
      </c>
      <c r="D15" s="3" t="s">
        <v>14</v>
      </c>
      <c r="E15" s="15"/>
      <c r="F15" s="16"/>
      <c r="G15" s="3"/>
      <c r="H15" s="15">
        <v>1151196.4991152356</v>
      </c>
      <c r="I15" s="17">
        <f>302.831575035053*10^6</f>
        <v>302831575.03505301</v>
      </c>
      <c r="K15" s="105"/>
    </row>
    <row r="16" spans="1:15" ht="12.75">
      <c r="A16" s="8">
        <f t="shared" si="0"/>
        <v>13</v>
      </c>
      <c r="B16" s="15">
        <f>867316565/1000</f>
        <v>867316.56499999994</v>
      </c>
      <c r="C16" s="16">
        <f>228.154656164091*10^6</f>
        <v>228154656.16409099</v>
      </c>
      <c r="D16" s="3" t="s">
        <v>14</v>
      </c>
      <c r="E16" s="15">
        <v>3318145.7590000001</v>
      </c>
      <c r="F16" s="16">
        <f>(E16/3.6)*1000</f>
        <v>921707155.27777779</v>
      </c>
      <c r="G16" s="3" t="s">
        <v>14</v>
      </c>
      <c r="H16" s="15">
        <v>1793949.1960351565</v>
      </c>
      <c r="I16" s="17">
        <f>471.912884538587*10^6</f>
        <v>471912884.53858697</v>
      </c>
    </row>
    <row r="17" spans="1:13" ht="12.75">
      <c r="A17" s="8">
        <f t="shared" si="0"/>
        <v>14</v>
      </c>
      <c r="B17" s="15">
        <f>866207916/1000</f>
        <v>866207.91599999997</v>
      </c>
      <c r="C17" s="16">
        <f>227.863017053749*10^6</f>
        <v>227863017.053749</v>
      </c>
      <c r="D17" s="3" t="s">
        <v>14</v>
      </c>
      <c r="E17" s="15"/>
      <c r="F17" s="16"/>
      <c r="G17" s="3"/>
      <c r="H17" s="15">
        <v>2733074.7310500005</v>
      </c>
      <c r="I17" s="17">
        <f>718.957472619561*10^6</f>
        <v>718957472.61956108</v>
      </c>
    </row>
    <row r="18" spans="1:13" ht="12.75">
      <c r="A18" s="8">
        <f t="shared" si="0"/>
        <v>15</v>
      </c>
      <c r="B18" s="15">
        <f>807231157/1000</f>
        <v>807231.15700000001</v>
      </c>
      <c r="C18" s="16">
        <f>212.348702310646*10^6</f>
        <v>212348702.310646</v>
      </c>
      <c r="D18" s="3" t="s">
        <v>14</v>
      </c>
      <c r="E18" s="15"/>
      <c r="F18" s="16"/>
      <c r="G18" s="3"/>
      <c r="H18" s="15">
        <v>1915632.698952832</v>
      </c>
      <c r="I18" s="17">
        <f>503.922716806722*10^6</f>
        <v>503922716.80672199</v>
      </c>
    </row>
    <row r="19" spans="1:13" ht="12.75">
      <c r="A19" s="8">
        <f t="shared" si="0"/>
        <v>16</v>
      </c>
      <c r="B19" s="15">
        <f>851878518/1000</f>
        <v>851878.51800000004</v>
      </c>
      <c r="C19" s="16">
        <f>224.093552701678*10^6</f>
        <v>224093552.70167798</v>
      </c>
      <c r="D19" s="3" t="s">
        <v>14</v>
      </c>
      <c r="E19" s="15"/>
      <c r="F19" s="16"/>
      <c r="G19" s="3"/>
      <c r="H19" s="15">
        <v>1052609.0430104497</v>
      </c>
      <c r="I19" s="17">
        <f>276.897345184757*10^6</f>
        <v>276897345.18475699</v>
      </c>
      <c r="K19" s="105"/>
    </row>
    <row r="20" spans="1:13" ht="12.75">
      <c r="A20" s="8">
        <f t="shared" si="0"/>
        <v>17</v>
      </c>
      <c r="B20" s="15">
        <v>851658.76500000001</v>
      </c>
      <c r="C20" s="16">
        <v>224035744.89288101</v>
      </c>
      <c r="D20" s="3" t="s">
        <v>14</v>
      </c>
      <c r="E20" s="15">
        <v>3330951.7170000002</v>
      </c>
      <c r="F20" s="16">
        <f>(E20/3.6)*1000</f>
        <v>925264365.83333337</v>
      </c>
      <c r="G20" s="3" t="s">
        <v>14</v>
      </c>
      <c r="H20" s="15">
        <v>1816933.1377441408</v>
      </c>
      <c r="I20" s="17">
        <v>477958996.79969603</v>
      </c>
      <c r="K20" s="105"/>
      <c r="M20" s="106"/>
    </row>
    <row r="21" spans="1:13" ht="12.75">
      <c r="A21" s="18">
        <f t="shared" si="0"/>
        <v>18</v>
      </c>
      <c r="B21" s="15">
        <v>518178.09</v>
      </c>
      <c r="C21" s="16">
        <v>136310948.88141102</v>
      </c>
      <c r="D21" s="3" t="s">
        <v>14</v>
      </c>
      <c r="E21" s="15"/>
      <c r="F21" s="16"/>
      <c r="G21" s="3"/>
      <c r="H21" s="15">
        <v>3024277.6793905278</v>
      </c>
      <c r="I21" s="17">
        <v>795560769.77047205</v>
      </c>
      <c r="K21" s="105"/>
    </row>
    <row r="22" spans="1:13" ht="12.75">
      <c r="A22" s="18">
        <f t="shared" si="0"/>
        <v>19</v>
      </c>
      <c r="B22" s="15">
        <v>237201.133</v>
      </c>
      <c r="C22" s="16">
        <v>62397681.683097899</v>
      </c>
      <c r="D22" s="3" t="s">
        <v>14</v>
      </c>
      <c r="E22" s="15"/>
      <c r="F22" s="16"/>
      <c r="G22" s="3"/>
      <c r="H22" s="15">
        <v>2782924.9723131838</v>
      </c>
      <c r="I22" s="17">
        <v>732070982.85800397</v>
      </c>
    </row>
    <row r="23" spans="1:13" ht="12.75">
      <c r="A23" s="8">
        <f t="shared" si="0"/>
        <v>20</v>
      </c>
      <c r="B23" s="15">
        <v>866476.2</v>
      </c>
      <c r="C23" s="16">
        <v>227933591.33567199</v>
      </c>
      <c r="D23" s="3" t="s">
        <v>14</v>
      </c>
      <c r="E23" s="15"/>
      <c r="F23" s="16"/>
      <c r="G23" s="3"/>
      <c r="H23" s="15">
        <v>1898155.4413916015</v>
      </c>
      <c r="I23" s="17">
        <v>499325182.46864098</v>
      </c>
    </row>
    <row r="24" spans="1:13" ht="12.75">
      <c r="A24" s="8">
        <f t="shared" si="0"/>
        <v>21</v>
      </c>
      <c r="B24" s="15">
        <v>867332.49899999995</v>
      </c>
      <c r="C24" s="16">
        <v>228158848</v>
      </c>
      <c r="D24" s="3" t="s">
        <v>14</v>
      </c>
      <c r="E24" s="15">
        <v>3472025.38</v>
      </c>
      <c r="F24" s="16">
        <f>(E24/3.6)*1000</f>
        <v>964451494.44444442</v>
      </c>
      <c r="G24" s="3" t="s">
        <v>14</v>
      </c>
      <c r="H24" s="15">
        <v>2735996.2906649415</v>
      </c>
      <c r="I24" s="17">
        <v>719726013</v>
      </c>
    </row>
    <row r="25" spans="1:13" ht="12.75">
      <c r="A25" s="8">
        <f t="shared" si="0"/>
        <v>22</v>
      </c>
      <c r="B25" s="15">
        <f>803257933/1000</f>
        <v>803257.93299999996</v>
      </c>
      <c r="C25" s="16">
        <f>211.303513515499*10^6</f>
        <v>211303513.515499</v>
      </c>
      <c r="D25" s="3" t="s">
        <v>14</v>
      </c>
      <c r="E25" s="15"/>
      <c r="F25" s="16"/>
      <c r="G25" s="3"/>
      <c r="H25" s="15">
        <v>3696766.8539736304</v>
      </c>
      <c r="I25" s="17">
        <f>972.464500879403*10^6</f>
        <v>972464500.879403</v>
      </c>
    </row>
    <row r="26" spans="1:13" ht="12.75">
      <c r="A26" s="8">
        <f t="shared" si="0"/>
        <v>23</v>
      </c>
      <c r="B26" s="15">
        <f>867231485/1000</f>
        <v>867231.48499999999</v>
      </c>
      <c r="C26" s="16">
        <f>228.132275180112*10^6</f>
        <v>228132275.180112</v>
      </c>
      <c r="D26" s="3" t="s">
        <v>14</v>
      </c>
      <c r="E26" s="15"/>
      <c r="F26" s="16"/>
      <c r="G26" s="3"/>
      <c r="H26" s="15">
        <v>2820454.6710244231</v>
      </c>
      <c r="I26" s="17">
        <f>741.943474461349*10^6</f>
        <v>741943474.46134901</v>
      </c>
    </row>
    <row r="27" spans="1:13" ht="12.75">
      <c r="A27" s="8">
        <f t="shared" si="0"/>
        <v>24</v>
      </c>
      <c r="B27" s="15">
        <f>866989573/1000</f>
        <v>866989.57299999997</v>
      </c>
      <c r="C27" s="16">
        <f>228.06863826666*10^6</f>
        <v>228068638.26666</v>
      </c>
      <c r="D27" s="3" t="s">
        <v>14</v>
      </c>
      <c r="E27" s="15"/>
      <c r="F27" s="16"/>
      <c r="G27" s="3"/>
      <c r="H27" s="15">
        <v>1946953.0205199209</v>
      </c>
      <c r="I27" s="17">
        <f>512.161781395656*10^6</f>
        <v>512161781.39565605</v>
      </c>
    </row>
    <row r="28" spans="1:13" ht="12.75">
      <c r="A28" s="18">
        <f t="shared" si="0"/>
        <v>25</v>
      </c>
      <c r="B28" s="15">
        <f>735661823/1000</f>
        <v>735661.82299999997</v>
      </c>
      <c r="C28" s="16">
        <f>193.521808590862*10^6</f>
        <v>193521808.59086201</v>
      </c>
      <c r="D28" s="3" t="s">
        <v>14</v>
      </c>
      <c r="E28" s="15">
        <v>3325510.247</v>
      </c>
      <c r="F28" s="16">
        <f>(E28/3.6)*1000</f>
        <v>923752846.38888884</v>
      </c>
      <c r="G28" s="3" t="s">
        <v>14</v>
      </c>
      <c r="H28" s="15">
        <v>3756454.1983341831</v>
      </c>
      <c r="I28" s="17">
        <f>988.165740864286*10^6</f>
        <v>988165740.86428607</v>
      </c>
    </row>
    <row r="29" spans="1:13" ht="12.75">
      <c r="A29" s="18">
        <f t="shared" si="0"/>
        <v>26</v>
      </c>
      <c r="B29" s="15">
        <f>632364384/1000</f>
        <v>632364.38399999996</v>
      </c>
      <c r="C29" s="16">
        <f>166.348579543085*10^6</f>
        <v>166348579.54308501</v>
      </c>
      <c r="D29" s="3" t="s">
        <v>14</v>
      </c>
      <c r="E29" s="15"/>
      <c r="F29" s="16"/>
      <c r="G29" s="3"/>
      <c r="H29" s="15">
        <v>3903692.9938964909</v>
      </c>
      <c r="I29" s="17">
        <f>1026.89810011022*10^6</f>
        <v>1026898100.11022</v>
      </c>
      <c r="K29" s="107"/>
    </row>
    <row r="30" spans="1:13" ht="12.75">
      <c r="A30" s="8">
        <f t="shared" si="0"/>
        <v>27</v>
      </c>
      <c r="B30" s="15">
        <f>849226878/1000</f>
        <v>849226.87800000003</v>
      </c>
      <c r="C30" s="16">
        <f>223.396017295478*10^6</f>
        <v>223396017.29547802</v>
      </c>
      <c r="D30" s="3" t="s">
        <v>14</v>
      </c>
      <c r="E30" s="15"/>
      <c r="F30" s="16"/>
      <c r="G30" s="3"/>
      <c r="H30" s="15">
        <v>3040163.5475120074</v>
      </c>
      <c r="I30" s="17">
        <f>799.739676210619*10^6</f>
        <v>799739676.21061897</v>
      </c>
      <c r="K30" s="25"/>
    </row>
    <row r="31" spans="1:13" ht="12.75">
      <c r="A31" s="8">
        <f t="shared" si="0"/>
        <v>28</v>
      </c>
      <c r="B31" s="15">
        <f>867202313/1000</f>
        <v>867202.31299999997</v>
      </c>
      <c r="C31" s="16">
        <f>228.124601248934*10^6</f>
        <v>228124601.248934</v>
      </c>
      <c r="D31" s="3" t="s">
        <v>14</v>
      </c>
      <c r="E31" s="15"/>
      <c r="F31" s="16"/>
      <c r="G31" s="3"/>
      <c r="H31" s="15">
        <v>2164660.0543721686</v>
      </c>
      <c r="I31" s="17">
        <f>569.431382205211*10^6</f>
        <v>569431382.20521092</v>
      </c>
      <c r="K31" s="25"/>
    </row>
    <row r="32" spans="1:13" ht="12.75">
      <c r="A32" s="8">
        <f t="shared" si="0"/>
        <v>29</v>
      </c>
      <c r="B32" s="15">
        <f>867001680/1000</f>
        <v>867001.68</v>
      </c>
      <c r="C32" s="16">
        <f>228.071823111195*10^6</f>
        <v>228071823.111195</v>
      </c>
      <c r="D32" s="3" t="s">
        <v>14</v>
      </c>
      <c r="E32" s="15">
        <v>3480218.861</v>
      </c>
      <c r="F32" s="16">
        <f>(E32/3.6)*1000</f>
        <v>966727461.38888884</v>
      </c>
      <c r="G32" s="3" t="s">
        <v>14</v>
      </c>
      <c r="H32" s="15">
        <v>4207358.1731841834</v>
      </c>
      <c r="I32" s="17">
        <f>1106.77968817766*10^6</f>
        <v>1106779688.17766</v>
      </c>
      <c r="K32" s="25"/>
    </row>
    <row r="33" spans="1:11" ht="12.75">
      <c r="A33" s="8">
        <f t="shared" si="0"/>
        <v>30</v>
      </c>
      <c r="B33" s="15">
        <f>866830641/1000</f>
        <v>866830.64099999995</v>
      </c>
      <c r="C33" s="16">
        <f>228.026829915158*10^6</f>
        <v>228026829.915158</v>
      </c>
      <c r="D33" s="3" t="s">
        <v>14</v>
      </c>
      <c r="E33" s="15"/>
      <c r="F33" s="16"/>
      <c r="G33" s="3"/>
      <c r="H33" s="15">
        <v>3906479.8118000003</v>
      </c>
      <c r="I33" s="17">
        <f>1027.6311951602*10^6</f>
        <v>1027631195.1601999</v>
      </c>
      <c r="K33" s="25"/>
    </row>
    <row r="34" spans="1:11" ht="12.75">
      <c r="A34" s="108"/>
      <c r="B34" s="25"/>
      <c r="C34" s="25"/>
      <c r="D34" s="26"/>
      <c r="E34" s="25"/>
      <c r="F34" s="25"/>
      <c r="G34" s="26"/>
      <c r="H34" s="25"/>
      <c r="I34" s="25"/>
    </row>
    <row r="35" spans="1:11" ht="19.899999999999999" customHeight="1">
      <c r="A35" s="7" t="s">
        <v>3</v>
      </c>
      <c r="B35" s="163" t="s">
        <v>17</v>
      </c>
      <c r="C35" s="163"/>
      <c r="D35" s="163"/>
      <c r="E35" s="164"/>
      <c r="F35" s="164"/>
      <c r="G35" s="164"/>
      <c r="H35" s="164"/>
      <c r="I35" s="113"/>
      <c r="J35" s="113"/>
    </row>
    <row r="36" spans="1:11" ht="19.899999999999999" customHeight="1">
      <c r="A36" s="7" t="s">
        <v>4</v>
      </c>
      <c r="B36" s="165" t="s">
        <v>13</v>
      </c>
      <c r="C36" s="165"/>
      <c r="D36" s="165"/>
      <c r="E36" s="165"/>
      <c r="F36" s="165"/>
      <c r="G36" s="165"/>
      <c r="H36" s="165"/>
      <c r="I36" s="114"/>
      <c r="J36" s="113"/>
    </row>
    <row r="37" spans="1:11" ht="19.899999999999999" customHeight="1">
      <c r="A37" s="7" t="s">
        <v>5</v>
      </c>
      <c r="B37" s="165" t="s">
        <v>18</v>
      </c>
      <c r="C37" s="165"/>
      <c r="D37" s="165"/>
      <c r="E37" s="166"/>
      <c r="F37" s="166"/>
      <c r="G37" s="166"/>
      <c r="H37" s="166"/>
      <c r="I37" s="115"/>
      <c r="J37" s="115"/>
    </row>
    <row r="38" spans="1:11" ht="19.899999999999999" customHeight="1">
      <c r="A38" s="7" t="s">
        <v>6</v>
      </c>
      <c r="B38" s="165" t="s">
        <v>0</v>
      </c>
      <c r="C38" s="165"/>
      <c r="D38" s="165"/>
      <c r="E38" s="165"/>
      <c r="F38" s="165"/>
      <c r="G38" s="165"/>
      <c r="H38" s="165"/>
      <c r="I38" s="114"/>
      <c r="J38" s="115"/>
    </row>
    <row r="39" spans="1:11" ht="19.899999999999999" customHeight="1">
      <c r="A39" s="7" t="s">
        <v>7</v>
      </c>
      <c r="B39" s="165" t="s">
        <v>41</v>
      </c>
      <c r="C39" s="165"/>
      <c r="D39" s="165"/>
      <c r="E39" s="166"/>
      <c r="F39" s="166"/>
      <c r="G39" s="166"/>
      <c r="H39" s="166"/>
      <c r="I39" s="115"/>
      <c r="J39" s="4"/>
    </row>
    <row r="40" spans="1:11" ht="19.899999999999999" customHeight="1">
      <c r="A40" s="28" t="s">
        <v>19</v>
      </c>
      <c r="B40" s="149" t="s">
        <v>37</v>
      </c>
      <c r="C40" s="167"/>
      <c r="D40" s="167"/>
      <c r="E40" s="167"/>
      <c r="F40" s="167"/>
      <c r="G40" s="167"/>
      <c r="H40" s="167"/>
      <c r="I40" s="116"/>
      <c r="J40" s="6"/>
    </row>
    <row r="41" spans="1:11" ht="19.899999999999999" customHeight="1">
      <c r="A41" s="1"/>
      <c r="B41" s="1"/>
      <c r="C41" s="1"/>
      <c r="D41" s="1"/>
      <c r="E41" s="1"/>
      <c r="F41" s="1"/>
      <c r="G41" s="1"/>
      <c r="H41" s="1"/>
      <c r="I41" s="1"/>
    </row>
    <row r="42" spans="1:11" ht="19.899999999999999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11" ht="19.899999999999999" customHeight="1"/>
    <row r="44" spans="1:11" ht="19.899999999999999" customHeight="1"/>
  </sheetData>
  <mergeCells count="13">
    <mergeCell ref="B40:H40"/>
    <mergeCell ref="A1:I1"/>
    <mergeCell ref="A2:A3"/>
    <mergeCell ref="B2:C2"/>
    <mergeCell ref="D2:D3"/>
    <mergeCell ref="E2:F2"/>
    <mergeCell ref="G2:G3"/>
    <mergeCell ref="H2:I2"/>
    <mergeCell ref="B35:H35"/>
    <mergeCell ref="B36:H36"/>
    <mergeCell ref="B37:H37"/>
    <mergeCell ref="B38:H38"/>
    <mergeCell ref="B39:H3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16" workbookViewId="0">
      <selection activeCell="D41" sqref="D41"/>
    </sheetView>
  </sheetViews>
  <sheetFormatPr defaultRowHeight="15.95" customHeight="1"/>
  <cols>
    <col min="1" max="1" width="11.28515625" customWidth="1"/>
    <col min="2" max="2" width="17.28515625" customWidth="1"/>
    <col min="3" max="3" width="15.28515625" customWidth="1"/>
    <col min="4" max="4" width="19.5703125" customWidth="1"/>
    <col min="5" max="5" width="17" customWidth="1"/>
    <col min="6" max="6" width="14.7109375" customWidth="1"/>
    <col min="7" max="7" width="21.7109375" customWidth="1"/>
    <col min="8" max="8" width="17.140625" customWidth="1"/>
    <col min="9" max="9" width="16.140625" customWidth="1"/>
    <col min="11" max="11" width="13.42578125" bestFit="1" customWidth="1"/>
  </cols>
  <sheetData>
    <row r="1" spans="1:15" ht="50.45" customHeight="1" thickBot="1">
      <c r="A1" s="151" t="s">
        <v>44</v>
      </c>
      <c r="B1" s="151"/>
      <c r="C1" s="151"/>
      <c r="D1" s="151"/>
      <c r="E1" s="151"/>
      <c r="F1" s="151"/>
      <c r="G1" s="151"/>
      <c r="H1" s="151"/>
      <c r="I1" s="151"/>
    </row>
    <row r="2" spans="1:15" ht="12.75">
      <c r="A2" s="179" t="s">
        <v>11</v>
      </c>
      <c r="B2" s="169" t="s">
        <v>2</v>
      </c>
      <c r="C2" s="170"/>
      <c r="D2" s="171" t="s">
        <v>12</v>
      </c>
      <c r="E2" s="173" t="s">
        <v>8</v>
      </c>
      <c r="F2" s="174"/>
      <c r="G2" s="175" t="s">
        <v>9</v>
      </c>
      <c r="H2" s="177" t="s">
        <v>10</v>
      </c>
      <c r="I2" s="178"/>
    </row>
    <row r="3" spans="1:15" ht="12.75">
      <c r="A3" s="180"/>
      <c r="B3" s="5" t="s">
        <v>1</v>
      </c>
      <c r="C3" s="10" t="s">
        <v>29</v>
      </c>
      <c r="D3" s="172"/>
      <c r="E3" s="2" t="s">
        <v>1</v>
      </c>
      <c r="F3" s="11" t="s">
        <v>29</v>
      </c>
      <c r="G3" s="176"/>
      <c r="H3" s="12" t="s">
        <v>1</v>
      </c>
      <c r="I3" s="13" t="s">
        <v>29</v>
      </c>
    </row>
    <row r="4" spans="1:15" ht="12.75">
      <c r="A4" s="8">
        <v>1</v>
      </c>
      <c r="B4" s="15">
        <v>823479.81099999999</v>
      </c>
      <c r="C4" s="16">
        <v>216623042.51777422</v>
      </c>
      <c r="D4" s="3" t="s">
        <v>14</v>
      </c>
      <c r="E4" s="15"/>
      <c r="F4" s="16"/>
      <c r="G4" s="3"/>
      <c r="H4" s="15">
        <v>3074091.270908203</v>
      </c>
      <c r="I4" s="17">
        <v>808664638.99613798</v>
      </c>
    </row>
    <row r="5" spans="1:15" ht="12.75">
      <c r="A5" s="18">
        <f>A4+1</f>
        <v>2</v>
      </c>
      <c r="B5" s="15">
        <v>514007.65600000002</v>
      </c>
      <c r="C5" s="16">
        <v>135213882.39643568</v>
      </c>
      <c r="D5" s="3" t="s">
        <v>14</v>
      </c>
      <c r="E5" s="15"/>
      <c r="F5" s="16"/>
      <c r="G5" s="3"/>
      <c r="H5" s="15">
        <v>2556855.5684238286</v>
      </c>
      <c r="I5" s="17">
        <v>672601592.79326189</v>
      </c>
    </row>
    <row r="6" spans="1:15" ht="12.75">
      <c r="A6" s="18">
        <f>A5+1</f>
        <v>3</v>
      </c>
      <c r="B6" s="15">
        <v>475329.86200000002</v>
      </c>
      <c r="C6" s="16">
        <v>125039375.01658925</v>
      </c>
      <c r="D6" s="3" t="s">
        <v>14</v>
      </c>
      <c r="E6" s="15">
        <v>3464794.62</v>
      </c>
      <c r="F6" s="16">
        <f>(E6/3.6)*1000</f>
        <v>962442950</v>
      </c>
      <c r="G6" s="3" t="s">
        <v>14</v>
      </c>
      <c r="H6" s="15">
        <v>2073091.6233841795</v>
      </c>
      <c r="I6" s="17">
        <v>545343563.83459103</v>
      </c>
    </row>
    <row r="7" spans="1:15" ht="12.75">
      <c r="A7" s="8">
        <f t="shared" ref="A7:A34" si="0">A6+1</f>
        <v>4</v>
      </c>
      <c r="B7" s="15">
        <v>732112.40099999995</v>
      </c>
      <c r="C7" s="16">
        <v>192588093.82690305</v>
      </c>
      <c r="D7" s="3" t="s">
        <v>14</v>
      </c>
      <c r="E7" s="15"/>
      <c r="F7" s="16"/>
      <c r="G7" s="3"/>
      <c r="H7" s="15">
        <v>4812723.3388697365</v>
      </c>
      <c r="I7" s="17">
        <f>1266.02590438558*10^6</f>
        <v>1266025904.3855798</v>
      </c>
    </row>
    <row r="8" spans="1:15" ht="12.75">
      <c r="A8" s="8">
        <f t="shared" si="0"/>
        <v>5</v>
      </c>
      <c r="B8" s="15">
        <v>851655.20299999998</v>
      </c>
      <c r="C8" s="16">
        <v>224034807.87941986</v>
      </c>
      <c r="D8" s="3" t="s">
        <v>14</v>
      </c>
      <c r="E8" s="15"/>
      <c r="F8" s="16"/>
      <c r="G8" s="3"/>
      <c r="H8" s="15">
        <v>3946220.5920531251</v>
      </c>
      <c r="I8" s="17">
        <f>1038.08532969451*10^6</f>
        <v>1038085329.69451</v>
      </c>
      <c r="K8" s="103"/>
    </row>
    <row r="9" spans="1:15" ht="12.75">
      <c r="A9" s="8">
        <f t="shared" si="0"/>
        <v>6</v>
      </c>
      <c r="B9" s="15">
        <v>850881.29299999995</v>
      </c>
      <c r="C9" s="16">
        <v>223831224.57768509</v>
      </c>
      <c r="D9" s="3" t="s">
        <v>14</v>
      </c>
      <c r="E9" s="15"/>
      <c r="F9" s="16"/>
      <c r="G9" s="3"/>
      <c r="H9" s="15">
        <v>3080182.3148871157</v>
      </c>
      <c r="I9" s="17">
        <f>810.266937511778*10^6</f>
        <v>810266937.511778</v>
      </c>
    </row>
    <row r="10" spans="1:15" ht="12.75">
      <c r="A10" s="8">
        <f t="shared" si="0"/>
        <v>7</v>
      </c>
      <c r="B10" s="15">
        <v>811415.34699999995</v>
      </c>
      <c r="C10" s="16">
        <v>213449387.42250451</v>
      </c>
      <c r="D10" s="3" t="s">
        <v>14</v>
      </c>
      <c r="E10" s="15"/>
      <c r="F10" s="16"/>
      <c r="G10" s="3"/>
      <c r="H10" s="15">
        <v>2259490.0731695313</v>
      </c>
      <c r="I10" s="17">
        <f>594.377187699825*10^6</f>
        <v>594377187.69982493</v>
      </c>
      <c r="K10" s="104"/>
    </row>
    <row r="11" spans="1:15" ht="12.75">
      <c r="A11" s="8">
        <f t="shared" si="0"/>
        <v>8</v>
      </c>
      <c r="B11" s="15">
        <v>689256.88699999999</v>
      </c>
      <c r="C11" s="16">
        <v>181314613.84207034</v>
      </c>
      <c r="D11" s="3" t="s">
        <v>14</v>
      </c>
      <c r="E11" s="15"/>
      <c r="F11" s="16"/>
      <c r="G11" s="3"/>
      <c r="H11" s="15">
        <v>1559883.4404821298</v>
      </c>
      <c r="I11" s="17">
        <f>410.339989320117*10^6</f>
        <v>410339989.320117</v>
      </c>
      <c r="O11" t="s">
        <v>38</v>
      </c>
    </row>
    <row r="12" spans="1:15" ht="12.75">
      <c r="A12" s="18">
        <f t="shared" si="0"/>
        <v>9</v>
      </c>
      <c r="B12" s="15">
        <v>573058.65300000005</v>
      </c>
      <c r="C12" s="16">
        <v>150747726.04796663</v>
      </c>
      <c r="D12" s="3" t="s">
        <v>14</v>
      </c>
      <c r="E12" s="15"/>
      <c r="F12" s="16"/>
      <c r="G12" s="3"/>
      <c r="H12" s="15">
        <v>979295.77839765628</v>
      </c>
      <c r="I12" s="17">
        <f>257.611696374395*10^6</f>
        <v>257611696.37439501</v>
      </c>
    </row>
    <row r="13" spans="1:15" ht="12.75">
      <c r="A13" s="18">
        <f t="shared" si="0"/>
        <v>10</v>
      </c>
      <c r="B13" s="15">
        <v>250755.32699999999</v>
      </c>
      <c r="C13" s="16">
        <v>65963222.336714387</v>
      </c>
      <c r="D13" s="3" t="s">
        <v>14</v>
      </c>
      <c r="E13" s="15">
        <v>3379754.892</v>
      </c>
      <c r="F13" s="16">
        <f>(E13/3.6)*1000</f>
        <v>938820803.33333337</v>
      </c>
      <c r="G13" s="3" t="s">
        <v>14</v>
      </c>
      <c r="H13" s="15">
        <v>1818837.9663472667</v>
      </c>
      <c r="I13" s="17">
        <f>478.460077411476*10^6</f>
        <v>478460077.41147602</v>
      </c>
      <c r="K13" s="105"/>
    </row>
    <row r="14" spans="1:15" ht="12.75">
      <c r="A14" s="8">
        <f t="shared" si="0"/>
        <v>11</v>
      </c>
      <c r="B14" s="15">
        <v>792319.19200000004</v>
      </c>
      <c r="C14" s="16">
        <v>208425988.98378995</v>
      </c>
      <c r="D14" s="3" t="s">
        <v>14</v>
      </c>
      <c r="E14" s="15"/>
      <c r="F14" s="16"/>
      <c r="G14" s="3"/>
      <c r="H14" s="15">
        <v>3312790.3447781256</v>
      </c>
      <c r="I14" s="17">
        <f>871.456366173031*10^6</f>
        <v>871456366.17303097</v>
      </c>
      <c r="K14" s="105"/>
      <c r="N14" t="s">
        <v>39</v>
      </c>
    </row>
    <row r="15" spans="1:15" ht="12.75">
      <c r="A15" s="8">
        <f t="shared" si="0"/>
        <v>12</v>
      </c>
      <c r="B15" s="15">
        <v>679388.25800000003</v>
      </c>
      <c r="C15" s="16">
        <v>178718590.95174897</v>
      </c>
      <c r="D15" s="3" t="s">
        <v>14</v>
      </c>
      <c r="E15" s="15"/>
      <c r="F15" s="16"/>
      <c r="G15" s="3"/>
      <c r="H15" s="15">
        <v>2629533.8103219834</v>
      </c>
      <c r="I15" s="17">
        <f>691.720193728648*10^6</f>
        <v>691720193.72864807</v>
      </c>
      <c r="K15" s="105"/>
    </row>
    <row r="16" spans="1:15" ht="12.75">
      <c r="A16" s="8">
        <f t="shared" si="0"/>
        <v>13</v>
      </c>
      <c r="B16" s="15">
        <v>831854.73100000003</v>
      </c>
      <c r="C16" s="16">
        <v>218826133.14342594</v>
      </c>
      <c r="D16" s="3" t="s">
        <v>14</v>
      </c>
      <c r="E16" s="15"/>
      <c r="F16" s="16"/>
      <c r="G16" s="3"/>
      <c r="H16" s="15">
        <v>1783783.4429323247</v>
      </c>
      <c r="I16" s="17">
        <f>469.238700742933*10^6</f>
        <v>469238700.74293303</v>
      </c>
    </row>
    <row r="17" spans="1:13" ht="12.75">
      <c r="A17" s="8">
        <f t="shared" si="0"/>
        <v>14</v>
      </c>
      <c r="B17" s="15">
        <v>633550.92799999996</v>
      </c>
      <c r="C17" s="16">
        <v>166660709.56488767</v>
      </c>
      <c r="D17" s="3" t="s">
        <v>14</v>
      </c>
      <c r="E17" s="15"/>
      <c r="F17" s="16"/>
      <c r="G17" s="3"/>
      <c r="H17" s="15">
        <v>1146321.7236514639</v>
      </c>
      <c r="I17" s="17">
        <f>301.549225815984*10^6</f>
        <v>301549225.81598401</v>
      </c>
    </row>
    <row r="18" spans="1:13" ht="12.75">
      <c r="A18" s="8">
        <f t="shared" si="0"/>
        <v>15</v>
      </c>
      <c r="B18" s="15">
        <v>475314.266</v>
      </c>
      <c r="C18" s="16">
        <v>125035272.36230922</v>
      </c>
      <c r="D18" s="3" t="s">
        <v>14</v>
      </c>
      <c r="E18" s="15">
        <v>3462940.298</v>
      </c>
      <c r="F18" s="16">
        <f>(E18/3.6)*1000</f>
        <v>961927860.55555558</v>
      </c>
      <c r="G18" s="3" t="s">
        <v>14</v>
      </c>
      <c r="H18" s="15">
        <v>668323.22673071281</v>
      </c>
      <c r="I18" s="17">
        <f>175.807844741466*10^6</f>
        <v>175807844.74146599</v>
      </c>
    </row>
    <row r="19" spans="1:13" ht="12.75">
      <c r="A19" s="18">
        <f t="shared" si="0"/>
        <v>16</v>
      </c>
      <c r="B19" s="15">
        <f>475602135/1000</f>
        <v>475602.13500000001</v>
      </c>
      <c r="C19" s="16">
        <f>125.110998637312*10^6</f>
        <v>125110998.637312</v>
      </c>
      <c r="D19" s="3" t="s">
        <v>14</v>
      </c>
      <c r="E19" s="15"/>
      <c r="F19" s="16"/>
      <c r="G19" s="3"/>
      <c r="H19" s="15">
        <v>3382354.7955530174</v>
      </c>
      <c r="I19" s="17">
        <f>889.755859101301*10^6</f>
        <v>889755859.10130095</v>
      </c>
      <c r="K19" s="105"/>
    </row>
    <row r="20" spans="1:13" ht="12.75">
      <c r="A20" s="18">
        <f t="shared" si="0"/>
        <v>17</v>
      </c>
      <c r="B20" s="15">
        <f>474909416/1000</f>
        <v>474909.41600000003</v>
      </c>
      <c r="C20" s="16">
        <f>124.928773286567*10^6</f>
        <v>124928773.28656699</v>
      </c>
      <c r="D20" s="3" t="s">
        <v>14</v>
      </c>
      <c r="E20" s="15"/>
      <c r="F20" s="16"/>
      <c r="G20" s="3"/>
      <c r="H20" s="15">
        <v>3189661.2130098683</v>
      </c>
      <c r="I20" s="17">
        <f>839.066249512028*10^6</f>
        <v>839066249.51202798</v>
      </c>
      <c r="K20" s="105"/>
      <c r="M20" s="106"/>
    </row>
    <row r="21" spans="1:13" ht="12.75">
      <c r="A21" s="8">
        <f t="shared" si="0"/>
        <v>18</v>
      </c>
      <c r="B21" s="15">
        <f>851496935/1000</f>
        <v>851496.93500000006</v>
      </c>
      <c r="C21" s="16">
        <f>223.993174198976*10^6</f>
        <v>223993174.19897598</v>
      </c>
      <c r="D21" s="3" t="s">
        <v>14</v>
      </c>
      <c r="E21" s="15">
        <v>3215606.997</v>
      </c>
      <c r="F21" s="16">
        <f>(E21/3.6)*1000</f>
        <v>893224165.83333325</v>
      </c>
      <c r="G21" s="3" t="s">
        <v>14</v>
      </c>
      <c r="H21" s="15">
        <v>5180819.4893826209</v>
      </c>
      <c r="I21" s="17">
        <f>1362.85658195438*10^6</f>
        <v>1362856581.95438</v>
      </c>
      <c r="K21" s="105"/>
    </row>
    <row r="22" spans="1:13" ht="12.75">
      <c r="A22" s="8">
        <f t="shared" si="0"/>
        <v>19</v>
      </c>
      <c r="B22" s="15">
        <f>808109534/1000</f>
        <v>808109.53399999999</v>
      </c>
      <c r="C22" s="16">
        <f>212.579766503934*10^6</f>
        <v>212579766.503934</v>
      </c>
      <c r="D22" s="3" t="s">
        <v>14</v>
      </c>
      <c r="E22" s="15"/>
      <c r="F22" s="16"/>
      <c r="G22" s="3"/>
      <c r="H22" s="15">
        <v>4744152.3836470675</v>
      </c>
      <c r="I22" s="17">
        <f>1247.98775851935*10^6</f>
        <v>1247987758.5193501</v>
      </c>
    </row>
    <row r="23" spans="1:13" ht="12.75">
      <c r="A23" s="8">
        <f t="shared" si="0"/>
        <v>20</v>
      </c>
      <c r="B23" s="15">
        <f>851113143/1000</f>
        <v>851113.14300000004</v>
      </c>
      <c r="C23" s="16">
        <f>223.89221460091*10^6</f>
        <v>223892214.60091001</v>
      </c>
      <c r="D23" s="3" t="s">
        <v>14</v>
      </c>
      <c r="E23" s="15"/>
      <c r="F23" s="16"/>
      <c r="G23" s="3"/>
      <c r="H23" s="15">
        <v>3880199.7884035097</v>
      </c>
      <c r="I23" s="17">
        <f>1020.71802188072*10^6</f>
        <v>1020718021.88072</v>
      </c>
    </row>
    <row r="24" spans="1:13" ht="12.75">
      <c r="A24" s="8">
        <f t="shared" si="0"/>
        <v>21</v>
      </c>
      <c r="B24" s="15">
        <v>845718.31799999997</v>
      </c>
      <c r="C24" s="16">
        <f>222.473062133852*10^6</f>
        <v>222473062.13385201</v>
      </c>
      <c r="D24" s="3" t="s">
        <v>14</v>
      </c>
      <c r="E24" s="15"/>
      <c r="F24" s="16"/>
      <c r="G24" s="3"/>
      <c r="H24" s="15">
        <v>3025248.2987944339</v>
      </c>
      <c r="I24" s="17">
        <v>795816099.07617307</v>
      </c>
    </row>
    <row r="25" spans="1:13" ht="12.75">
      <c r="A25" s="8">
        <f t="shared" si="0"/>
        <v>22</v>
      </c>
      <c r="B25" s="15">
        <f>851356379/1000</f>
        <v>851356.37899999996</v>
      </c>
      <c r="C25" s="16">
        <f>223.956199803299*10^6</f>
        <v>223956199.80329901</v>
      </c>
      <c r="D25" s="3" t="s">
        <v>14</v>
      </c>
      <c r="E25" s="15">
        <v>3316282.571</v>
      </c>
      <c r="F25" s="16">
        <f>(E25/3.6)*1000</f>
        <v>921189603.05555546</v>
      </c>
      <c r="G25" s="3" t="s">
        <v>14</v>
      </c>
      <c r="H25" s="15">
        <v>4670594.1885455055</v>
      </c>
      <c r="I25" s="17">
        <f>1228.63767875759*10^6</f>
        <v>1228637678.7575901</v>
      </c>
    </row>
    <row r="26" spans="1:13" ht="12.75">
      <c r="A26" s="18">
        <f t="shared" si="0"/>
        <v>23</v>
      </c>
      <c r="B26" s="15">
        <f>695395857/1000</f>
        <v>695395.85699999996</v>
      </c>
      <c r="C26" s="16">
        <f>182.9295196867*10^6</f>
        <v>182929519.68669999</v>
      </c>
      <c r="D26" s="3" t="s">
        <v>14</v>
      </c>
      <c r="E26" s="15"/>
      <c r="F26" s="16"/>
      <c r="G26" s="3"/>
      <c r="H26" s="15">
        <v>4803093.0792706972</v>
      </c>
      <c r="I26" s="17">
        <f>1263.49258649883*10^6</f>
        <v>1263492586.4988298</v>
      </c>
    </row>
    <row r="27" spans="1:13" ht="12.75">
      <c r="A27" s="18">
        <f t="shared" si="0"/>
        <v>24</v>
      </c>
      <c r="B27" s="15">
        <f>652751892/1000</f>
        <v>652751.89199999999</v>
      </c>
      <c r="C27" s="16">
        <f>171.711678860555*10^6</f>
        <v>171711678.86055499</v>
      </c>
      <c r="D27" s="3" t="s">
        <v>14</v>
      </c>
      <c r="E27" s="15"/>
      <c r="F27" s="16"/>
      <c r="G27" s="3"/>
      <c r="H27" s="15">
        <v>4137887.5026404327</v>
      </c>
      <c r="I27" s="17">
        <f>1088.50486489973*10^6</f>
        <v>1088504864.89973</v>
      </c>
    </row>
    <row r="28" spans="1:13" ht="12.75">
      <c r="A28" s="8">
        <f t="shared" si="0"/>
        <v>25</v>
      </c>
      <c r="B28" s="15">
        <f>851437189/1000</f>
        <v>851437.18900000001</v>
      </c>
      <c r="C28" s="16">
        <f>223.97745752915*10^6</f>
        <v>223977457.52915001</v>
      </c>
      <c r="D28" s="3" t="s">
        <v>14</v>
      </c>
      <c r="E28" s="15"/>
      <c r="F28" s="16"/>
      <c r="G28" s="3"/>
      <c r="H28" s="15">
        <v>3269183.8547668033</v>
      </c>
      <c r="I28" s="17">
        <f>859.985325336798*10^6</f>
        <v>859985325.33679807</v>
      </c>
    </row>
    <row r="29" spans="1:13" ht="12.75">
      <c r="A29" s="8">
        <f t="shared" si="0"/>
        <v>26</v>
      </c>
      <c r="B29" s="15">
        <f>851398059/1000</f>
        <v>851398.05900000001</v>
      </c>
      <c r="C29" s="16">
        <f>223.967164065314*10^6</f>
        <v>223967164.06531399</v>
      </c>
      <c r="D29" s="3" t="s">
        <v>14</v>
      </c>
      <c r="E29" s="15"/>
      <c r="F29" s="16"/>
      <c r="G29" s="3"/>
      <c r="H29" s="15">
        <v>2410946.9430367071</v>
      </c>
      <c r="I29" s="17">
        <f>634.219145599285*10^6</f>
        <v>634219145.59928501</v>
      </c>
      <c r="K29" s="107"/>
    </row>
    <row r="30" spans="1:13" ht="12.75">
      <c r="A30" s="8">
        <f t="shared" si="0"/>
        <v>27</v>
      </c>
      <c r="B30" s="15">
        <f>851058773/1000</f>
        <v>851058.77300000004</v>
      </c>
      <c r="C30" s="16">
        <f>223.877912131482*10^6</f>
        <v>223877912.13148201</v>
      </c>
      <c r="D30" s="3" t="s">
        <v>14</v>
      </c>
      <c r="E30" s="15"/>
      <c r="F30" s="16"/>
      <c r="G30" s="3"/>
      <c r="H30" s="15">
        <v>1546754.806972851</v>
      </c>
      <c r="I30" s="17">
        <f>406.886395805258*10^6</f>
        <v>406886395.80525804</v>
      </c>
      <c r="K30" s="25"/>
    </row>
    <row r="31" spans="1:13" ht="12.75">
      <c r="A31" s="8">
        <f t="shared" si="0"/>
        <v>28</v>
      </c>
      <c r="B31" s="15">
        <f>852348359/1000</f>
        <v>852348.35900000005</v>
      </c>
      <c r="C31" s="16">
        <f>224.217148187032*10^6</f>
        <v>224217148.18703198</v>
      </c>
      <c r="D31" s="3" t="s">
        <v>14</v>
      </c>
      <c r="E31" s="15">
        <v>3461124.6349999998</v>
      </c>
      <c r="F31" s="16">
        <f>(E31/3.6)*1000</f>
        <v>961423509.72222209</v>
      </c>
      <c r="G31" s="3" t="s">
        <v>14</v>
      </c>
      <c r="H31" s="15">
        <v>1619174.9436371105</v>
      </c>
      <c r="I31" s="17">
        <f>425.937100065692*10^6</f>
        <v>425937100.06569201</v>
      </c>
      <c r="K31" s="25"/>
    </row>
    <row r="32" spans="1:13" ht="12.75">
      <c r="A32" s="8">
        <f t="shared" si="0"/>
        <v>29</v>
      </c>
      <c r="B32" s="15">
        <v>395445.5</v>
      </c>
      <c r="C32" s="16">
        <f>104.025145748412*10^6</f>
        <v>104025145.748412</v>
      </c>
      <c r="D32" s="3" t="s">
        <v>14</v>
      </c>
      <c r="E32" s="15"/>
      <c r="F32" s="16"/>
      <c r="G32" s="3"/>
      <c r="H32" s="15">
        <v>3777617.3902679565</v>
      </c>
      <c r="I32" s="17">
        <f>993.732890131157*10^6</f>
        <v>993732890.13115692</v>
      </c>
      <c r="K32" s="25"/>
    </row>
    <row r="33" spans="1:11" ht="12.75">
      <c r="A33" s="18">
        <f t="shared" si="0"/>
        <v>30</v>
      </c>
      <c r="B33" s="15">
        <v>8837.1839999999993</v>
      </c>
      <c r="C33" s="16">
        <f>2.32469291876007*10^6</f>
        <v>2324692.9187600701</v>
      </c>
      <c r="D33" s="3" t="s">
        <v>14</v>
      </c>
      <c r="E33" s="15"/>
      <c r="F33" s="16"/>
      <c r="G33" s="3"/>
      <c r="H33" s="15">
        <v>3775490.7468652404</v>
      </c>
      <c r="I33" s="17">
        <f>993.173459337477*10^6</f>
        <v>993173459.33747697</v>
      </c>
      <c r="K33" s="25"/>
    </row>
    <row r="34" spans="1:11" ht="12.75">
      <c r="A34" s="18">
        <f t="shared" si="0"/>
        <v>31</v>
      </c>
      <c r="B34" s="15">
        <v>0</v>
      </c>
      <c r="C34" s="16">
        <v>0</v>
      </c>
      <c r="D34" s="3" t="s">
        <v>14</v>
      </c>
      <c r="E34" s="15"/>
      <c r="F34" s="16"/>
      <c r="G34" s="3"/>
      <c r="H34" s="15">
        <v>3773046.5921051805</v>
      </c>
      <c r="I34" s="17">
        <f>992.530504606302*10^6</f>
        <v>992530504.60630202</v>
      </c>
    </row>
    <row r="35" spans="1:11" ht="19.899999999999999" customHeight="1">
      <c r="A35" s="108"/>
      <c r="B35" s="163" t="s">
        <v>17</v>
      </c>
      <c r="C35" s="163"/>
      <c r="D35" s="163"/>
      <c r="E35" s="164"/>
      <c r="F35" s="164"/>
      <c r="G35" s="164"/>
      <c r="H35" s="164"/>
      <c r="I35" s="117"/>
      <c r="J35" s="117"/>
    </row>
    <row r="36" spans="1:11" ht="19.899999999999999" customHeight="1">
      <c r="A36" s="7" t="s">
        <v>4</v>
      </c>
      <c r="B36" s="165" t="s">
        <v>13</v>
      </c>
      <c r="C36" s="165"/>
      <c r="D36" s="165"/>
      <c r="E36" s="165"/>
      <c r="F36" s="165"/>
      <c r="G36" s="165"/>
      <c r="H36" s="165"/>
      <c r="I36" s="118"/>
      <c r="J36" s="117"/>
    </row>
    <row r="37" spans="1:11" ht="19.899999999999999" customHeight="1">
      <c r="A37" s="7" t="s">
        <v>5</v>
      </c>
      <c r="B37" s="165" t="s">
        <v>18</v>
      </c>
      <c r="C37" s="165"/>
      <c r="D37" s="165"/>
      <c r="E37" s="166"/>
      <c r="F37" s="166"/>
      <c r="G37" s="166"/>
      <c r="H37" s="166"/>
      <c r="I37" s="119"/>
      <c r="J37" s="119"/>
    </row>
    <row r="38" spans="1:11" ht="19.899999999999999" customHeight="1">
      <c r="A38" s="7" t="s">
        <v>6</v>
      </c>
      <c r="B38" s="165" t="s">
        <v>0</v>
      </c>
      <c r="C38" s="165"/>
      <c r="D38" s="165"/>
      <c r="E38" s="165"/>
      <c r="F38" s="165"/>
      <c r="G38" s="165"/>
      <c r="H38" s="165"/>
      <c r="I38" s="118"/>
      <c r="J38" s="119"/>
    </row>
    <row r="39" spans="1:11" ht="19.899999999999999" customHeight="1">
      <c r="A39" s="7" t="s">
        <v>7</v>
      </c>
      <c r="B39" s="165" t="s">
        <v>41</v>
      </c>
      <c r="C39" s="165"/>
      <c r="D39" s="165"/>
      <c r="E39" s="166"/>
      <c r="F39" s="166"/>
      <c r="G39" s="166"/>
      <c r="H39" s="166"/>
      <c r="I39" s="119"/>
      <c r="J39" s="4"/>
    </row>
    <row r="40" spans="1:11" ht="19.899999999999999" customHeight="1">
      <c r="A40" s="28" t="s">
        <v>19</v>
      </c>
      <c r="B40" s="149" t="s">
        <v>37</v>
      </c>
      <c r="C40" s="167"/>
      <c r="D40" s="167"/>
      <c r="E40" s="167"/>
      <c r="F40" s="167"/>
      <c r="G40" s="167"/>
      <c r="H40" s="167"/>
      <c r="I40" s="120"/>
      <c r="J40" s="6"/>
    </row>
    <row r="41" spans="1:11" ht="19.899999999999999" customHeight="1">
      <c r="A41" s="1"/>
      <c r="B41" s="1"/>
      <c r="C41" s="1"/>
      <c r="D41" s="1"/>
      <c r="E41" s="1"/>
      <c r="F41" s="1"/>
      <c r="G41" s="1"/>
      <c r="H41" s="1"/>
      <c r="I41" s="1"/>
    </row>
    <row r="42" spans="1:11" ht="19.899999999999999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11" ht="19.899999999999999" customHeight="1"/>
    <row r="44" spans="1:11" ht="19.899999999999999" customHeight="1"/>
  </sheetData>
  <mergeCells count="13">
    <mergeCell ref="B40:H40"/>
    <mergeCell ref="A1:I1"/>
    <mergeCell ref="A2:A3"/>
    <mergeCell ref="B2:C2"/>
    <mergeCell ref="D2:D3"/>
    <mergeCell ref="E2:F2"/>
    <mergeCell ref="G2:G3"/>
    <mergeCell ref="H2:I2"/>
    <mergeCell ref="B35:H35"/>
    <mergeCell ref="B36:H36"/>
    <mergeCell ref="B37:H37"/>
    <mergeCell ref="B38:H38"/>
    <mergeCell ref="B39:H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3" workbookViewId="0">
      <selection activeCell="H11" sqref="H11"/>
    </sheetView>
  </sheetViews>
  <sheetFormatPr defaultRowHeight="12.75"/>
  <cols>
    <col min="1" max="1" width="10.140625" customWidth="1"/>
    <col min="2" max="2" width="16.85546875" customWidth="1"/>
    <col min="3" max="3" width="16.5703125" customWidth="1"/>
    <col min="4" max="4" width="19.85546875" customWidth="1"/>
    <col min="5" max="6" width="17.140625" customWidth="1"/>
    <col min="7" max="7" width="19.85546875" customWidth="1"/>
    <col min="8" max="8" width="16.85546875" customWidth="1"/>
    <col min="9" max="9" width="17.140625" customWidth="1"/>
  </cols>
  <sheetData>
    <row r="1" spans="1:9" ht="57" customHeight="1" thickBot="1">
      <c r="A1" s="151" t="s">
        <v>22</v>
      </c>
      <c r="B1" s="151"/>
      <c r="C1" s="151"/>
      <c r="D1" s="151"/>
      <c r="E1" s="151"/>
      <c r="F1" s="151"/>
      <c r="G1" s="151"/>
      <c r="H1" s="151"/>
      <c r="I1" s="151"/>
    </row>
    <row r="2" spans="1:9">
      <c r="A2" s="152" t="s">
        <v>11</v>
      </c>
      <c r="B2" s="153" t="s">
        <v>2</v>
      </c>
      <c r="C2" s="154"/>
      <c r="D2" s="155" t="s">
        <v>12</v>
      </c>
      <c r="E2" s="157" t="s">
        <v>8</v>
      </c>
      <c r="F2" s="158"/>
      <c r="G2" s="159" t="s">
        <v>9</v>
      </c>
      <c r="H2" s="161" t="s">
        <v>10</v>
      </c>
      <c r="I2" s="162"/>
    </row>
    <row r="3" spans="1:9">
      <c r="A3" s="152"/>
      <c r="B3" s="5" t="s">
        <v>1</v>
      </c>
      <c r="C3" s="10" t="s">
        <v>15</v>
      </c>
      <c r="D3" s="156"/>
      <c r="E3" s="2" t="s">
        <v>1</v>
      </c>
      <c r="F3" s="11" t="s">
        <v>15</v>
      </c>
      <c r="G3" s="160"/>
      <c r="H3" s="12" t="s">
        <v>1</v>
      </c>
      <c r="I3" s="13" t="s">
        <v>15</v>
      </c>
    </row>
    <row r="4" spans="1:9">
      <c r="A4" s="32">
        <v>1</v>
      </c>
      <c r="B4" s="15">
        <f>673375721/1000</f>
        <v>673375.72100000002</v>
      </c>
      <c r="C4" s="16">
        <f t="shared" ref="C4:C11" si="0">(B4/3.6)*1000</f>
        <v>187048811.3888889</v>
      </c>
      <c r="D4" s="3" t="s">
        <v>14</v>
      </c>
      <c r="E4" s="15">
        <v>3339186.497</v>
      </c>
      <c r="F4" s="16">
        <f>(E4/3.6)*1000</f>
        <v>927551804.72222221</v>
      </c>
      <c r="G4" s="3" t="s">
        <v>14</v>
      </c>
      <c r="H4" s="15">
        <v>702952.4885238281</v>
      </c>
      <c r="I4" s="17">
        <f>(H4/3.6)*1000</f>
        <v>195264580.14550778</v>
      </c>
    </row>
    <row r="5" spans="1:9">
      <c r="A5" s="29">
        <f>A4+1</f>
        <v>2</v>
      </c>
      <c r="B5" s="15">
        <f>866887585/1000</f>
        <v>866887.58499999996</v>
      </c>
      <c r="C5" s="16">
        <f t="shared" si="0"/>
        <v>240802106.94444442</v>
      </c>
      <c r="D5" s="3" t="s">
        <v>14</v>
      </c>
      <c r="E5" s="15"/>
      <c r="F5" s="16"/>
      <c r="G5" s="3"/>
      <c r="H5" s="15">
        <v>1316531.8682491211</v>
      </c>
      <c r="I5" s="17">
        <f>(H5/3.6)*1000</f>
        <v>365703296.73586696</v>
      </c>
    </row>
    <row r="6" spans="1:9">
      <c r="A6" s="29">
        <f t="shared" ref="A6:A31" si="1">A5+1</f>
        <v>3</v>
      </c>
      <c r="B6" s="15">
        <f>475010590/1000</f>
        <v>475010.59</v>
      </c>
      <c r="C6" s="16">
        <f t="shared" si="0"/>
        <v>131947386.11111112</v>
      </c>
      <c r="D6" s="3" t="s">
        <v>14</v>
      </c>
      <c r="E6" s="27"/>
      <c r="F6" s="16"/>
      <c r="G6" s="3"/>
      <c r="H6" s="15">
        <v>2493207.8789004884</v>
      </c>
      <c r="I6" s="17">
        <f>(H6/3.6)*1000</f>
        <v>692557744.1390245</v>
      </c>
    </row>
    <row r="7" spans="1:9">
      <c r="A7" s="29">
        <f t="shared" si="1"/>
        <v>4</v>
      </c>
      <c r="B7" s="15">
        <f>474936970/1000</f>
        <v>474936.97</v>
      </c>
      <c r="C7" s="16">
        <f t="shared" si="0"/>
        <v>131926936.1111111</v>
      </c>
      <c r="D7" s="3" t="s">
        <v>14</v>
      </c>
      <c r="E7" s="27"/>
      <c r="F7" s="21"/>
      <c r="G7" s="20"/>
      <c r="H7" s="15">
        <v>2018825.0710067386</v>
      </c>
      <c r="I7" s="17">
        <f>(H7/3.6)*1000</f>
        <v>560784741.94631624</v>
      </c>
    </row>
    <row r="8" spans="1:9">
      <c r="A8" s="29">
        <f t="shared" si="1"/>
        <v>5</v>
      </c>
      <c r="B8" s="15">
        <f>356315367/1000</f>
        <v>356315.36700000003</v>
      </c>
      <c r="C8" s="16">
        <f t="shared" si="0"/>
        <v>98976490.833333343</v>
      </c>
      <c r="D8" s="3" t="s">
        <v>14</v>
      </c>
      <c r="E8" s="33"/>
      <c r="F8" s="21"/>
      <c r="G8" s="3"/>
      <c r="H8" s="15">
        <v>1539338.7261658204</v>
      </c>
      <c r="I8" s="17">
        <f>(H8/3.6)*1000</f>
        <v>427594090.6016168</v>
      </c>
    </row>
    <row r="9" spans="1:9">
      <c r="A9" s="8">
        <f t="shared" si="1"/>
        <v>6</v>
      </c>
      <c r="B9" s="15">
        <f>632830441/1000</f>
        <v>632830.44099999999</v>
      </c>
      <c r="C9" s="16">
        <f t="shared" si="0"/>
        <v>175786233.6111111</v>
      </c>
      <c r="D9" s="3" t="s">
        <v>14</v>
      </c>
      <c r="E9" s="33"/>
      <c r="F9" s="21"/>
      <c r="G9" s="3"/>
      <c r="H9" s="15">
        <v>1179569.9128450686</v>
      </c>
      <c r="I9" s="17">
        <f t="shared" ref="I9:I14" si="2">(H9/3.6)*1000</f>
        <v>327658309.12363017</v>
      </c>
    </row>
    <row r="10" spans="1:9">
      <c r="A10" s="32">
        <f t="shared" si="1"/>
        <v>7</v>
      </c>
      <c r="B10" s="15">
        <f>138316302/1000</f>
        <v>138316.302</v>
      </c>
      <c r="C10" s="16">
        <f t="shared" si="0"/>
        <v>38421195</v>
      </c>
      <c r="D10" s="3" t="s">
        <v>14</v>
      </c>
      <c r="E10" s="22"/>
      <c r="F10" s="21"/>
      <c r="G10" s="16"/>
      <c r="H10" s="15">
        <v>536106.2587704591</v>
      </c>
      <c r="I10" s="17">
        <f t="shared" si="2"/>
        <v>148918405.21401641</v>
      </c>
    </row>
    <row r="11" spans="1:9">
      <c r="A11" s="32">
        <f t="shared" si="1"/>
        <v>8</v>
      </c>
      <c r="B11" s="15">
        <f>138098477/1000</f>
        <v>138098.47700000001</v>
      </c>
      <c r="C11" s="16">
        <f t="shared" si="0"/>
        <v>38360688.05555556</v>
      </c>
      <c r="D11" s="3" t="s">
        <v>14</v>
      </c>
      <c r="E11" s="24"/>
      <c r="F11" s="16"/>
      <c r="G11" s="3"/>
      <c r="H11" s="15">
        <v>401249.2683249024</v>
      </c>
      <c r="I11" s="17">
        <f t="shared" si="2"/>
        <v>111458130.09025066</v>
      </c>
    </row>
    <row r="12" spans="1:9">
      <c r="A12" s="29">
        <f t="shared" si="1"/>
        <v>9</v>
      </c>
      <c r="B12" s="15">
        <f>237335727/1000</f>
        <v>237335.72700000001</v>
      </c>
      <c r="C12" s="16">
        <f t="shared" ref="C12:C19" si="3">(B12/3.6)*1000</f>
        <v>65926590.833333336</v>
      </c>
      <c r="D12" s="3" t="s">
        <v>14</v>
      </c>
      <c r="E12" s="15">
        <v>3319215.6379999998</v>
      </c>
      <c r="F12" s="16">
        <f>(E12/3.6)*1000</f>
        <v>922004343.88888884</v>
      </c>
      <c r="G12" s="3" t="s">
        <v>14</v>
      </c>
      <c r="H12" s="15">
        <v>258546.02848220221</v>
      </c>
      <c r="I12" s="17">
        <f t="shared" si="2"/>
        <v>71818341.245056167</v>
      </c>
    </row>
    <row r="13" spans="1:9">
      <c r="A13" s="29">
        <f t="shared" si="1"/>
        <v>10</v>
      </c>
      <c r="B13" s="15">
        <f>867015993/1000</f>
        <v>867015.99300000002</v>
      </c>
      <c r="C13" s="16">
        <f t="shared" si="3"/>
        <v>240837775.83333331</v>
      </c>
      <c r="D13" s="3" t="s">
        <v>14</v>
      </c>
      <c r="E13" s="15">
        <f>3465846883/1000</f>
        <v>3465846.8829999999</v>
      </c>
      <c r="F13" s="16">
        <f>(E13/3.6)*1000</f>
        <v>962735245.27777779</v>
      </c>
      <c r="G13" s="3" t="s">
        <v>14</v>
      </c>
      <c r="H13" s="15">
        <v>1121110.6942702639</v>
      </c>
      <c r="I13" s="17">
        <f t="shared" si="2"/>
        <v>311419637.29729551</v>
      </c>
    </row>
    <row r="14" spans="1:9">
      <c r="A14" s="29">
        <f t="shared" si="1"/>
        <v>11</v>
      </c>
      <c r="B14" s="15">
        <f>866524280/1000</f>
        <v>866524.28</v>
      </c>
      <c r="C14" s="16">
        <f t="shared" si="3"/>
        <v>240701188.8888889</v>
      </c>
      <c r="D14" s="3" t="s">
        <v>14</v>
      </c>
      <c r="E14" s="15"/>
      <c r="F14" s="16"/>
      <c r="G14" s="3"/>
      <c r="H14" s="15">
        <v>3685509.0174904298</v>
      </c>
      <c r="I14" s="17">
        <f t="shared" si="2"/>
        <v>1023752504.8584527</v>
      </c>
    </row>
    <row r="15" spans="1:9">
      <c r="A15" s="29">
        <f t="shared" si="1"/>
        <v>12</v>
      </c>
      <c r="B15" s="15">
        <f>866982717/1000</f>
        <v>866982.71699999995</v>
      </c>
      <c r="C15" s="16">
        <f t="shared" si="3"/>
        <v>240828532.49999997</v>
      </c>
      <c r="D15" s="3" t="s">
        <v>14</v>
      </c>
      <c r="E15" s="24"/>
      <c r="F15" s="21"/>
      <c r="G15" s="9"/>
      <c r="H15" s="15">
        <v>5086632.6209072275</v>
      </c>
      <c r="I15" s="17">
        <f>(H15/3.6)*1000</f>
        <v>1412953505.8075633</v>
      </c>
    </row>
    <row r="16" spans="1:9">
      <c r="A16" s="29">
        <f t="shared" si="1"/>
        <v>13</v>
      </c>
      <c r="B16" s="15">
        <f>672751775/1000</f>
        <v>672751.77500000002</v>
      </c>
      <c r="C16" s="16">
        <f t="shared" si="3"/>
        <v>186875493.05555555</v>
      </c>
      <c r="D16" s="3" t="s">
        <v>14</v>
      </c>
      <c r="E16" s="24"/>
      <c r="F16" s="21"/>
      <c r="G16" s="9"/>
      <c r="H16" s="15">
        <v>4209197.4705923824</v>
      </c>
      <c r="I16" s="17">
        <f t="shared" ref="I16:I31" si="4">(H16/3.6)*1000</f>
        <v>1169221519.6089952</v>
      </c>
    </row>
    <row r="17" spans="1:10">
      <c r="A17" s="32">
        <f t="shared" si="1"/>
        <v>14</v>
      </c>
      <c r="B17" s="15">
        <f>355831790/1000</f>
        <v>355831.79</v>
      </c>
      <c r="C17" s="16">
        <f t="shared" si="3"/>
        <v>98842163.888888881</v>
      </c>
      <c r="D17" s="3" t="s">
        <v>14</v>
      </c>
      <c r="E17" s="24"/>
      <c r="F17" s="21"/>
      <c r="G17" s="9"/>
      <c r="H17" s="15">
        <v>3533697.3876683596</v>
      </c>
      <c r="I17" s="17">
        <f t="shared" si="4"/>
        <v>981582607.68565536</v>
      </c>
    </row>
    <row r="18" spans="1:10">
      <c r="A18" s="32">
        <f t="shared" si="1"/>
        <v>15</v>
      </c>
      <c r="B18" s="15">
        <f>237204508/1000</f>
        <v>237204.508</v>
      </c>
      <c r="C18" s="16">
        <f t="shared" si="3"/>
        <v>65890141.111111112</v>
      </c>
      <c r="D18" s="3" t="s">
        <v>14</v>
      </c>
      <c r="E18" s="24"/>
      <c r="F18" s="21"/>
      <c r="G18" s="9"/>
      <c r="H18" s="15">
        <v>3167348.328128418</v>
      </c>
      <c r="I18" s="17">
        <f t="shared" si="4"/>
        <v>879818980.03567159</v>
      </c>
    </row>
    <row r="19" spans="1:10">
      <c r="A19" s="29">
        <f t="shared" si="1"/>
        <v>16</v>
      </c>
      <c r="B19" s="15">
        <f>764353970/1000</f>
        <v>764353.97</v>
      </c>
      <c r="C19" s="16">
        <f t="shared" si="3"/>
        <v>212320547.22222221</v>
      </c>
      <c r="D19" s="3" t="s">
        <v>14</v>
      </c>
      <c r="E19" s="24"/>
      <c r="F19" s="21"/>
      <c r="G19" s="9"/>
      <c r="H19" s="15">
        <v>2925461.9241034184</v>
      </c>
      <c r="I19" s="17">
        <f t="shared" si="4"/>
        <v>812628312.2509495</v>
      </c>
    </row>
    <row r="20" spans="1:10">
      <c r="A20" s="29">
        <f t="shared" si="1"/>
        <v>17</v>
      </c>
      <c r="B20" s="15">
        <v>728827.80200000003</v>
      </c>
      <c r="C20" s="16">
        <f t="shared" ref="C20:C31" si="5">(B20/3.6)*1000</f>
        <v>202452167.22222224</v>
      </c>
      <c r="D20" s="3" t="s">
        <v>14</v>
      </c>
      <c r="E20" s="24"/>
      <c r="F20" s="21"/>
      <c r="G20" s="20"/>
      <c r="H20" s="15">
        <v>2152135.6458015624</v>
      </c>
      <c r="I20" s="17">
        <f t="shared" si="4"/>
        <v>597815457.16710067</v>
      </c>
    </row>
    <row r="21" spans="1:10">
      <c r="A21" s="29">
        <f t="shared" si="1"/>
        <v>18</v>
      </c>
      <c r="B21" s="15">
        <v>408080.23</v>
      </c>
      <c r="C21" s="16">
        <f t="shared" si="5"/>
        <v>113355619.44444445</v>
      </c>
      <c r="D21" s="3" t="s">
        <v>14</v>
      </c>
      <c r="E21" s="15">
        <f>3459905.424</f>
        <v>3459905.4240000001</v>
      </c>
      <c r="F21" s="16">
        <f>(E21/3.6)*1000</f>
        <v>961084840</v>
      </c>
      <c r="G21" s="9" t="s">
        <v>14</v>
      </c>
      <c r="H21" s="15">
        <v>1415815.1904369141</v>
      </c>
      <c r="I21" s="17">
        <f t="shared" si="4"/>
        <v>393281997.34358722</v>
      </c>
    </row>
    <row r="22" spans="1:10">
      <c r="A22" s="29">
        <f t="shared" si="1"/>
        <v>19</v>
      </c>
      <c r="B22" s="15">
        <f>752316468/1000</f>
        <v>752316.46799999999</v>
      </c>
      <c r="C22" s="16">
        <f t="shared" si="5"/>
        <v>208976796.66666666</v>
      </c>
      <c r="D22" s="3" t="s">
        <v>14</v>
      </c>
      <c r="E22" s="15"/>
      <c r="F22" s="16"/>
      <c r="G22" s="9"/>
      <c r="H22" s="15">
        <v>2813708.4661213867</v>
      </c>
      <c r="I22" s="17">
        <f t="shared" si="4"/>
        <v>781585685.03371847</v>
      </c>
    </row>
    <row r="23" spans="1:10">
      <c r="A23" s="29">
        <f t="shared" si="1"/>
        <v>20</v>
      </c>
      <c r="B23" s="15">
        <f>633192227/1000</f>
        <v>633192.22699999996</v>
      </c>
      <c r="C23" s="16">
        <f t="shared" si="5"/>
        <v>175886729.72222221</v>
      </c>
      <c r="D23" s="3" t="s">
        <v>14</v>
      </c>
      <c r="E23" s="15"/>
      <c r="F23" s="21"/>
      <c r="G23" s="3"/>
      <c r="H23" s="15">
        <v>3728338.916162305</v>
      </c>
      <c r="I23" s="17">
        <f t="shared" si="4"/>
        <v>1035649698.9339736</v>
      </c>
    </row>
    <row r="24" spans="1:10">
      <c r="A24" s="32">
        <f t="shared" si="1"/>
        <v>21</v>
      </c>
      <c r="B24" s="15">
        <f>237423689/1000</f>
        <v>237423.68900000001</v>
      </c>
      <c r="C24" s="16">
        <f t="shared" si="5"/>
        <v>65951024.722222224</v>
      </c>
      <c r="D24" s="3" t="s">
        <v>14</v>
      </c>
      <c r="E24" s="15"/>
      <c r="F24" s="16"/>
      <c r="G24" s="3"/>
      <c r="H24" s="15">
        <v>3087713.102185938</v>
      </c>
      <c r="I24" s="17">
        <f t="shared" si="4"/>
        <v>857698083.94053829</v>
      </c>
    </row>
    <row r="25" spans="1:10">
      <c r="A25" s="32">
        <f t="shared" si="1"/>
        <v>22</v>
      </c>
      <c r="B25" s="15">
        <f>277220781/1000</f>
        <v>277220.78100000002</v>
      </c>
      <c r="C25" s="16">
        <f t="shared" si="5"/>
        <v>77005772.5</v>
      </c>
      <c r="D25" s="3" t="s">
        <v>14</v>
      </c>
      <c r="E25" s="19"/>
      <c r="F25" s="16"/>
      <c r="G25" s="3"/>
      <c r="H25" s="15">
        <v>2842420.7870073244</v>
      </c>
      <c r="I25" s="17">
        <f t="shared" si="4"/>
        <v>789561329.72425675</v>
      </c>
    </row>
    <row r="26" spans="1:10">
      <c r="A26" s="29">
        <f t="shared" si="1"/>
        <v>23</v>
      </c>
      <c r="B26" s="15">
        <f>728893237/1000</f>
        <v>728893.23699999996</v>
      </c>
      <c r="C26" s="16">
        <f t="shared" si="5"/>
        <v>202470343.6111111</v>
      </c>
      <c r="D26" s="3" t="s">
        <v>14</v>
      </c>
      <c r="E26" s="15"/>
      <c r="F26" s="16"/>
      <c r="G26" s="3"/>
      <c r="H26" s="15">
        <v>2557186.2377457032</v>
      </c>
      <c r="I26" s="17">
        <f t="shared" si="4"/>
        <v>710329510.48491752</v>
      </c>
    </row>
    <row r="27" spans="1:10">
      <c r="A27" s="29">
        <f t="shared" si="1"/>
        <v>24</v>
      </c>
      <c r="B27" s="15">
        <f>555063446/1000</f>
        <v>555063.446</v>
      </c>
      <c r="C27" s="16">
        <f t="shared" si="5"/>
        <v>154184290.55555555</v>
      </c>
      <c r="D27" s="3" t="s">
        <v>14</v>
      </c>
      <c r="E27" s="15"/>
      <c r="F27" s="16"/>
      <c r="G27" s="3"/>
      <c r="H27" s="15">
        <v>1815875.1889306642</v>
      </c>
      <c r="I27" s="17">
        <f t="shared" si="4"/>
        <v>504409774.70296228</v>
      </c>
    </row>
    <row r="28" spans="1:10">
      <c r="A28" s="29">
        <f t="shared" si="1"/>
        <v>25</v>
      </c>
      <c r="B28" s="15">
        <f>824464987/1000</f>
        <v>824464.98699999996</v>
      </c>
      <c r="C28" s="16">
        <f t="shared" si="5"/>
        <v>229018051.94444442</v>
      </c>
      <c r="D28" s="3" t="s">
        <v>14</v>
      </c>
      <c r="E28" s="15">
        <v>3324390.3620000002</v>
      </c>
      <c r="F28" s="16">
        <f>(E28/3.6)*1000</f>
        <v>923441767.22222233</v>
      </c>
      <c r="G28" s="3" t="s">
        <v>14</v>
      </c>
      <c r="H28" s="15">
        <v>1249390.0135604495</v>
      </c>
      <c r="I28" s="17">
        <f t="shared" si="4"/>
        <v>347052781.54456931</v>
      </c>
    </row>
    <row r="29" spans="1:10">
      <c r="A29" s="29">
        <f t="shared" si="1"/>
        <v>26</v>
      </c>
      <c r="B29" s="15">
        <f>586201363/1000</f>
        <v>586201.36300000001</v>
      </c>
      <c r="C29" s="16">
        <f t="shared" si="5"/>
        <v>162833711.94444445</v>
      </c>
      <c r="D29" s="3" t="s">
        <v>14</v>
      </c>
      <c r="E29" s="15"/>
      <c r="F29" s="16"/>
      <c r="G29" s="3"/>
      <c r="H29" s="15">
        <v>2562992.7072300781</v>
      </c>
      <c r="I29" s="17">
        <f t="shared" si="4"/>
        <v>711942418.67502165</v>
      </c>
    </row>
    <row r="30" spans="1:10">
      <c r="A30" s="29">
        <f t="shared" si="1"/>
        <v>27</v>
      </c>
      <c r="B30" s="15">
        <f>791885681/1000</f>
        <v>791885.68099999998</v>
      </c>
      <c r="C30" s="16">
        <f t="shared" si="5"/>
        <v>219968244.72222221</v>
      </c>
      <c r="D30" s="3" t="s">
        <v>14</v>
      </c>
      <c r="E30" s="15">
        <v>3331015.66</v>
      </c>
      <c r="F30" s="16">
        <f>(E30/3.6)*1000</f>
        <v>925282127.77777779</v>
      </c>
      <c r="G30" s="3" t="s">
        <v>14</v>
      </c>
      <c r="H30" s="15">
        <v>3165085.3859989261</v>
      </c>
      <c r="I30" s="17">
        <f t="shared" si="4"/>
        <v>879190384.99970162</v>
      </c>
    </row>
    <row r="31" spans="1:10">
      <c r="A31" s="32">
        <f t="shared" si="1"/>
        <v>28</v>
      </c>
      <c r="B31" s="15">
        <f>237054191/1000</f>
        <v>237054.19099999999</v>
      </c>
      <c r="C31" s="16">
        <f t="shared" si="5"/>
        <v>65848386.388888888</v>
      </c>
      <c r="D31" s="3" t="s">
        <v>14</v>
      </c>
      <c r="E31" s="15"/>
      <c r="F31" s="16"/>
      <c r="G31" s="3"/>
      <c r="H31" s="15">
        <v>2794894.0917011718</v>
      </c>
      <c r="I31" s="17">
        <f t="shared" si="4"/>
        <v>776359469.91699207</v>
      </c>
    </row>
    <row r="32" spans="1:10" ht="30" customHeight="1">
      <c r="A32" s="7" t="s">
        <v>3</v>
      </c>
      <c r="B32" s="163" t="s">
        <v>17</v>
      </c>
      <c r="C32" s="163"/>
      <c r="D32" s="163"/>
      <c r="E32" s="164"/>
      <c r="F32" s="164"/>
      <c r="G32" s="164"/>
      <c r="H32" s="164"/>
      <c r="I32" s="42"/>
      <c r="J32" s="42"/>
    </row>
    <row r="33" spans="1:10" ht="30" customHeight="1">
      <c r="A33" s="7" t="s">
        <v>4</v>
      </c>
      <c r="B33" s="165" t="s">
        <v>13</v>
      </c>
      <c r="C33" s="165"/>
      <c r="D33" s="165"/>
      <c r="E33" s="165"/>
      <c r="F33" s="165"/>
      <c r="G33" s="165"/>
      <c r="H33" s="165"/>
      <c r="I33" s="39"/>
      <c r="J33" s="42"/>
    </row>
    <row r="34" spans="1:10" ht="30" customHeight="1">
      <c r="A34" s="7" t="s">
        <v>5</v>
      </c>
      <c r="B34" s="165" t="s">
        <v>18</v>
      </c>
      <c r="C34" s="165"/>
      <c r="D34" s="165"/>
      <c r="E34" s="166"/>
      <c r="F34" s="166"/>
      <c r="G34" s="166"/>
      <c r="H34" s="166"/>
      <c r="I34" s="40"/>
      <c r="J34" s="40"/>
    </row>
    <row r="35" spans="1:10" ht="30" customHeight="1">
      <c r="A35" s="7" t="s">
        <v>6</v>
      </c>
      <c r="B35" s="165" t="s">
        <v>0</v>
      </c>
      <c r="C35" s="165"/>
      <c r="D35" s="165"/>
      <c r="E35" s="165"/>
      <c r="F35" s="165"/>
      <c r="G35" s="165"/>
      <c r="H35" s="165"/>
      <c r="I35" s="39"/>
      <c r="J35" s="40"/>
    </row>
    <row r="36" spans="1:10" ht="30" customHeight="1">
      <c r="A36" s="7" t="s">
        <v>7</v>
      </c>
      <c r="B36" s="165" t="s">
        <v>16</v>
      </c>
      <c r="C36" s="165"/>
      <c r="D36" s="165"/>
      <c r="E36" s="166"/>
      <c r="F36" s="166"/>
      <c r="G36" s="166"/>
      <c r="H36" s="166"/>
      <c r="I36" s="40"/>
      <c r="J36" s="4"/>
    </row>
    <row r="37" spans="1:10" ht="30" customHeight="1">
      <c r="A37" s="28" t="s">
        <v>19</v>
      </c>
      <c r="B37" s="149" t="s">
        <v>20</v>
      </c>
      <c r="C37" s="150"/>
      <c r="D37" s="150"/>
      <c r="E37" s="150"/>
      <c r="F37" s="150"/>
      <c r="G37" s="150"/>
      <c r="H37" s="150"/>
      <c r="I37" s="41"/>
      <c r="J37" s="6"/>
    </row>
    <row r="38" spans="1:10">
      <c r="A38" s="1"/>
      <c r="B38" s="1"/>
      <c r="C38" s="1"/>
      <c r="D38" s="1"/>
      <c r="E38" s="1"/>
      <c r="F38" s="1"/>
      <c r="G38" s="1"/>
      <c r="H38" s="1"/>
      <c r="I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</row>
  </sheetData>
  <mergeCells count="13">
    <mergeCell ref="B37:H37"/>
    <mergeCell ref="A1:I1"/>
    <mergeCell ref="A2:A3"/>
    <mergeCell ref="B2:C2"/>
    <mergeCell ref="D2:D3"/>
    <mergeCell ref="E2:F2"/>
    <mergeCell ref="G2:G3"/>
    <mergeCell ref="H2:I2"/>
    <mergeCell ref="B32:H32"/>
    <mergeCell ref="B33:H33"/>
    <mergeCell ref="B34:H34"/>
    <mergeCell ref="B35:H35"/>
    <mergeCell ref="B36:H3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13" workbookViewId="0">
      <selection activeCell="K38" sqref="K38"/>
    </sheetView>
  </sheetViews>
  <sheetFormatPr defaultRowHeight="15.95" customHeight="1"/>
  <cols>
    <col min="1" max="1" width="11.28515625" customWidth="1"/>
    <col min="2" max="2" width="17.28515625" customWidth="1"/>
    <col min="3" max="3" width="15.28515625" customWidth="1"/>
    <col min="4" max="4" width="19.5703125" customWidth="1"/>
    <col min="5" max="5" width="17" customWidth="1"/>
    <col min="6" max="6" width="14.7109375" customWidth="1"/>
    <col min="7" max="7" width="21.7109375" customWidth="1"/>
    <col min="8" max="8" width="17.140625" customWidth="1"/>
    <col min="9" max="9" width="16.140625" customWidth="1"/>
    <col min="11" max="11" width="13.42578125" bestFit="1" customWidth="1"/>
  </cols>
  <sheetData>
    <row r="1" spans="1:15" ht="50.45" customHeight="1" thickBot="1">
      <c r="A1" s="151" t="s">
        <v>45</v>
      </c>
      <c r="B1" s="151"/>
      <c r="C1" s="151"/>
      <c r="D1" s="151"/>
      <c r="E1" s="151"/>
      <c r="F1" s="151"/>
      <c r="G1" s="151"/>
      <c r="H1" s="151"/>
      <c r="I1" s="151"/>
    </row>
    <row r="2" spans="1:15" ht="12.75">
      <c r="A2" s="179" t="s">
        <v>11</v>
      </c>
      <c r="B2" s="169" t="s">
        <v>2</v>
      </c>
      <c r="C2" s="170"/>
      <c r="D2" s="171" t="s">
        <v>12</v>
      </c>
      <c r="E2" s="173" t="s">
        <v>8</v>
      </c>
      <c r="F2" s="174"/>
      <c r="G2" s="175" t="s">
        <v>9</v>
      </c>
      <c r="H2" s="177" t="s">
        <v>10</v>
      </c>
      <c r="I2" s="178"/>
    </row>
    <row r="3" spans="1:15" ht="12.75">
      <c r="A3" s="180"/>
      <c r="B3" s="5" t="s">
        <v>1</v>
      </c>
      <c r="C3" s="10" t="s">
        <v>29</v>
      </c>
      <c r="D3" s="172"/>
      <c r="E3" s="2" t="s">
        <v>1</v>
      </c>
      <c r="F3" s="11" t="s">
        <v>29</v>
      </c>
      <c r="G3" s="176"/>
      <c r="H3" s="12" t="s">
        <v>1</v>
      </c>
      <c r="I3" s="13" t="s">
        <v>29</v>
      </c>
    </row>
    <row r="4" spans="1:15" ht="12.75">
      <c r="A4" s="8">
        <v>1</v>
      </c>
      <c r="B4" s="15">
        <v>0</v>
      </c>
      <c r="C4" s="16">
        <v>0</v>
      </c>
      <c r="D4" s="3" t="s">
        <v>14</v>
      </c>
      <c r="E4" s="15"/>
      <c r="F4" s="16"/>
      <c r="G4" s="3"/>
      <c r="H4" s="15">
        <v>3768168.9421515628</v>
      </c>
      <c r="I4" s="17">
        <f>991.247399229366*10^6</f>
        <v>991247399.22936606</v>
      </c>
    </row>
    <row r="5" spans="1:15" ht="12.75">
      <c r="A5" s="8">
        <f>A4+1</f>
        <v>2</v>
      </c>
      <c r="B5" s="15">
        <v>0</v>
      </c>
      <c r="C5" s="16">
        <v>0</v>
      </c>
      <c r="D5" s="3" t="s">
        <v>14</v>
      </c>
      <c r="E5" s="15"/>
      <c r="F5" s="16"/>
      <c r="G5" s="3"/>
      <c r="H5" s="15">
        <v>3762063.5257234373</v>
      </c>
      <c r="I5" s="17">
        <f>989.641319924404*10^6</f>
        <v>989641319.92440403</v>
      </c>
    </row>
    <row r="6" spans="1:15" ht="12.75">
      <c r="A6" s="8">
        <f>A5+1</f>
        <v>3</v>
      </c>
      <c r="B6" s="15">
        <v>0</v>
      </c>
      <c r="C6" s="16">
        <v>0</v>
      </c>
      <c r="D6" s="3" t="s">
        <v>14</v>
      </c>
      <c r="E6" s="15"/>
      <c r="F6" s="16"/>
      <c r="G6" s="3"/>
      <c r="H6" s="15">
        <v>3752406.9166341829</v>
      </c>
      <c r="I6" s="17">
        <f>987.101070590564*10^6</f>
        <v>987101070.59056389</v>
      </c>
    </row>
    <row r="7" spans="1:15" ht="12.75">
      <c r="A7" s="8">
        <f t="shared" ref="A7:A34" si="0">A6+1</f>
        <v>4</v>
      </c>
      <c r="B7" s="15">
        <v>0</v>
      </c>
      <c r="C7" s="16">
        <v>0</v>
      </c>
      <c r="D7" s="3" t="s">
        <v>14</v>
      </c>
      <c r="E7" s="15"/>
      <c r="F7" s="16"/>
      <c r="G7" s="3"/>
      <c r="H7" s="15">
        <v>3745093.9749308657</v>
      </c>
      <c r="I7" s="17">
        <f>985.177341969206*10^6</f>
        <v>985177341.96920609</v>
      </c>
    </row>
    <row r="8" spans="1:15" ht="12.75">
      <c r="A8" s="8">
        <f t="shared" si="0"/>
        <v>5</v>
      </c>
      <c r="B8" s="15">
        <v>0</v>
      </c>
      <c r="C8" s="16">
        <v>0</v>
      </c>
      <c r="D8" s="3" t="s">
        <v>14</v>
      </c>
      <c r="E8" s="15"/>
      <c r="F8" s="16"/>
      <c r="G8" s="3"/>
      <c r="H8" s="15">
        <v>3737164.9342376953</v>
      </c>
      <c r="I8" s="17">
        <v>983091543.51214397</v>
      </c>
      <c r="K8" s="103"/>
    </row>
    <row r="9" spans="1:15" ht="12.75">
      <c r="A9" s="18">
        <f t="shared" si="0"/>
        <v>6</v>
      </c>
      <c r="B9" s="15">
        <v>0</v>
      </c>
      <c r="C9" s="16">
        <v>0</v>
      </c>
      <c r="D9" s="3" t="s">
        <v>14</v>
      </c>
      <c r="E9" s="15"/>
      <c r="F9" s="16"/>
      <c r="G9" s="3"/>
      <c r="H9" s="15">
        <v>3732312.1965293949</v>
      </c>
      <c r="I9" s="17">
        <v>981814991.50337195</v>
      </c>
    </row>
    <row r="10" spans="1:15" ht="12.75">
      <c r="A10" s="18">
        <f t="shared" si="0"/>
        <v>7</v>
      </c>
      <c r="B10" s="15">
        <v>0</v>
      </c>
      <c r="C10" s="16">
        <v>0</v>
      </c>
      <c r="D10" s="3" t="s">
        <v>14</v>
      </c>
      <c r="E10" s="15"/>
      <c r="F10" s="16"/>
      <c r="G10" s="3"/>
      <c r="H10" s="15">
        <v>3723414.0934476568</v>
      </c>
      <c r="I10" s="17">
        <v>979474273.32612097</v>
      </c>
      <c r="K10" s="104"/>
    </row>
    <row r="11" spans="1:15" ht="12.75">
      <c r="A11" s="8">
        <f t="shared" si="0"/>
        <v>8</v>
      </c>
      <c r="B11" s="15">
        <v>0</v>
      </c>
      <c r="C11" s="16">
        <v>0</v>
      </c>
      <c r="D11" s="3" t="s">
        <v>14</v>
      </c>
      <c r="E11" s="15"/>
      <c r="F11" s="16"/>
      <c r="G11" s="3"/>
      <c r="H11" s="15">
        <v>3715161.1935654301</v>
      </c>
      <c r="I11" s="17">
        <v>977303281.0829531</v>
      </c>
      <c r="O11" t="s">
        <v>38</v>
      </c>
    </row>
    <row r="12" spans="1:15" ht="12.75">
      <c r="A12" s="8">
        <f t="shared" si="0"/>
        <v>9</v>
      </c>
      <c r="B12" s="15">
        <v>0</v>
      </c>
      <c r="C12" s="16">
        <v>0</v>
      </c>
      <c r="D12" s="3" t="s">
        <v>14</v>
      </c>
      <c r="E12" s="15"/>
      <c r="F12" s="16"/>
      <c r="G12" s="3"/>
      <c r="H12" s="15">
        <v>3707218.499045508</v>
      </c>
      <c r="I12" s="17">
        <v>975213890.87603402</v>
      </c>
    </row>
    <row r="13" spans="1:15" ht="12.75">
      <c r="A13" s="8">
        <f t="shared" si="0"/>
        <v>10</v>
      </c>
      <c r="B13" s="15">
        <v>0</v>
      </c>
      <c r="C13" s="16">
        <v>0</v>
      </c>
      <c r="D13" s="3" t="s">
        <v>14</v>
      </c>
      <c r="E13" s="15"/>
      <c r="F13" s="16"/>
      <c r="G13" s="3"/>
      <c r="H13" s="15">
        <v>3697654.1131720706</v>
      </c>
      <c r="I13" s="17">
        <v>972697901.60702407</v>
      </c>
      <c r="K13" s="105"/>
    </row>
    <row r="14" spans="1:15" ht="12.75">
      <c r="A14" s="8">
        <f t="shared" si="0"/>
        <v>11</v>
      </c>
      <c r="B14" s="15">
        <f>158092826/1000</f>
        <v>158092.826</v>
      </c>
      <c r="C14" s="16">
        <v>43870759.214999996</v>
      </c>
      <c r="D14" s="3" t="s">
        <v>14</v>
      </c>
      <c r="E14" s="15"/>
      <c r="F14" s="16"/>
      <c r="G14" s="3"/>
      <c r="H14" s="15">
        <v>3531139.7073400482</v>
      </c>
      <c r="I14" s="17">
        <v>928894936.75880504</v>
      </c>
      <c r="K14" s="105"/>
      <c r="N14" t="s">
        <v>39</v>
      </c>
    </row>
    <row r="15" spans="1:15" ht="12.75">
      <c r="A15" s="8">
        <f t="shared" si="0"/>
        <v>12</v>
      </c>
      <c r="B15" s="15">
        <f>236808654/1000</f>
        <v>236808.65400000001</v>
      </c>
      <c r="C15" s="16">
        <v>65714401.484999999</v>
      </c>
      <c r="D15" s="3" t="s">
        <v>14</v>
      </c>
      <c r="E15" s="15"/>
      <c r="F15" s="16"/>
      <c r="G15" s="3"/>
      <c r="H15" s="15">
        <v>3294032.3822210943</v>
      </c>
      <c r="I15" s="17">
        <v>866521931.99957693</v>
      </c>
      <c r="K15" s="105"/>
    </row>
    <row r="16" spans="1:15" ht="12.75">
      <c r="A16" s="18">
        <f t="shared" si="0"/>
        <v>13</v>
      </c>
      <c r="B16" s="15">
        <f>197882130/1000</f>
        <v>197882.13</v>
      </c>
      <c r="C16" s="16">
        <v>54912291.074999996</v>
      </c>
      <c r="D16" s="3" t="s">
        <v>14</v>
      </c>
      <c r="E16" s="15"/>
      <c r="F16" s="16"/>
      <c r="G16" s="3"/>
      <c r="H16" s="15">
        <v>3092415.3052692385</v>
      </c>
      <c r="I16" s="17">
        <v>813484924.83857608</v>
      </c>
    </row>
    <row r="17" spans="1:13" ht="12.75">
      <c r="A17" s="18">
        <f t="shared" si="0"/>
        <v>14</v>
      </c>
      <c r="B17" s="15">
        <v>197730.486</v>
      </c>
      <c r="C17" s="16">
        <v>54870209.864999995</v>
      </c>
      <c r="D17" s="3" t="s">
        <v>14</v>
      </c>
      <c r="E17" s="15"/>
      <c r="F17" s="16"/>
      <c r="G17" s="3"/>
      <c r="H17" s="15">
        <v>2890869.3719410161</v>
      </c>
      <c r="I17" s="17">
        <v>760466632.58472991</v>
      </c>
    </row>
    <row r="18" spans="1:13" ht="12.75">
      <c r="A18" s="8">
        <f t="shared" si="0"/>
        <v>15</v>
      </c>
      <c r="B18" s="15">
        <v>296940.43900000001</v>
      </c>
      <c r="C18" s="16">
        <v>82400971.82249999</v>
      </c>
      <c r="D18" s="3" t="s">
        <v>14</v>
      </c>
      <c r="E18" s="15"/>
      <c r="F18" s="16"/>
      <c r="G18" s="3"/>
      <c r="H18" s="15">
        <v>2588444.6547913086</v>
      </c>
      <c r="I18" s="17">
        <v>680911358.14256203</v>
      </c>
    </row>
    <row r="19" spans="1:13" ht="12.75">
      <c r="A19" s="8">
        <f t="shared" si="0"/>
        <v>16</v>
      </c>
      <c r="B19" s="15">
        <v>356735.10499999998</v>
      </c>
      <c r="C19" s="16">
        <v>98993991.637500003</v>
      </c>
      <c r="D19" s="3" t="s">
        <v>14</v>
      </c>
      <c r="E19" s="15"/>
      <c r="F19" s="16"/>
      <c r="G19" s="3"/>
      <c r="H19" s="15">
        <v>2223959.9414558592</v>
      </c>
      <c r="I19" s="17">
        <v>585030698.41122496</v>
      </c>
      <c r="K19" s="105"/>
    </row>
    <row r="20" spans="1:13" ht="12.75">
      <c r="A20" s="8">
        <f t="shared" si="0"/>
        <v>17</v>
      </c>
      <c r="B20" s="15">
        <v>442143.674</v>
      </c>
      <c r="C20" s="16">
        <v>122694869.53500001</v>
      </c>
      <c r="D20" s="3" t="s">
        <v>14</v>
      </c>
      <c r="E20" s="15"/>
      <c r="F20" s="16"/>
      <c r="G20" s="3"/>
      <c r="H20" s="15">
        <v>1775063.198909668</v>
      </c>
      <c r="I20" s="17">
        <v>466944769.83357</v>
      </c>
      <c r="K20" s="105"/>
      <c r="M20" s="106"/>
    </row>
    <row r="21" spans="1:13" ht="12.75">
      <c r="A21" s="8">
        <f t="shared" si="0"/>
        <v>18</v>
      </c>
      <c r="B21" s="15">
        <v>495726.13500000001</v>
      </c>
      <c r="C21" s="16">
        <v>137564002.46250001</v>
      </c>
      <c r="D21" s="3" t="s">
        <v>14</v>
      </c>
      <c r="E21" s="15"/>
      <c r="F21" s="16"/>
      <c r="G21" s="3"/>
      <c r="H21" s="15">
        <v>1269553.1393499998</v>
      </c>
      <c r="I21" s="17">
        <v>333966249.09434503</v>
      </c>
      <c r="K21" s="105"/>
    </row>
    <row r="22" spans="1:13" ht="12.75">
      <c r="A22" s="8">
        <f t="shared" si="0"/>
        <v>19</v>
      </c>
      <c r="B22" s="15">
        <v>635078.66700000002</v>
      </c>
      <c r="C22" s="16">
        <f>167.062593698455*10^6</f>
        <v>167062593.69845501</v>
      </c>
      <c r="D22" s="3" t="s">
        <v>14</v>
      </c>
      <c r="E22" s="15">
        <v>3442912.105</v>
      </c>
      <c r="F22" s="16">
        <v>956364473.61111104</v>
      </c>
      <c r="G22" s="3" t="s">
        <v>14</v>
      </c>
      <c r="H22" s="15">
        <v>2311177.8320653322</v>
      </c>
      <c r="I22" s="17">
        <v>607974071.85337901</v>
      </c>
    </row>
    <row r="23" spans="1:13" ht="12.75">
      <c r="A23" s="18">
        <f t="shared" si="0"/>
        <v>20</v>
      </c>
      <c r="B23" s="15">
        <v>729637.90599999996</v>
      </c>
      <c r="C23" s="16">
        <v>191937168.37140998</v>
      </c>
      <c r="D23" s="3" t="s">
        <v>14</v>
      </c>
      <c r="E23" s="15"/>
      <c r="F23" s="16"/>
      <c r="G23" s="3"/>
      <c r="H23" s="15">
        <v>3355190.8665295793</v>
      </c>
      <c r="I23" s="17">
        <v>882610167.27837598</v>
      </c>
    </row>
    <row r="24" spans="1:13" ht="12.75">
      <c r="A24" s="18">
        <f t="shared" si="0"/>
        <v>21</v>
      </c>
      <c r="B24" s="15">
        <v>666834.00100000005</v>
      </c>
      <c r="C24" s="16">
        <v>175416091.83571899</v>
      </c>
      <c r="D24" s="3" t="s">
        <v>14</v>
      </c>
      <c r="E24" s="15"/>
      <c r="F24" s="16"/>
      <c r="G24" s="3"/>
      <c r="H24" s="15">
        <v>2678333.6650880771</v>
      </c>
      <c r="I24" s="17">
        <v>704557391.280635</v>
      </c>
    </row>
    <row r="25" spans="1:13" ht="12.75">
      <c r="A25" s="8">
        <f t="shared" si="0"/>
        <v>22</v>
      </c>
      <c r="B25" s="15">
        <v>792817.625</v>
      </c>
      <c r="C25" s="16">
        <v>220006890.9375</v>
      </c>
      <c r="D25" s="3" t="s">
        <v>14</v>
      </c>
      <c r="E25" s="15"/>
      <c r="F25" s="16"/>
      <c r="G25" s="3"/>
      <c r="H25" s="15">
        <v>1873333.9820500002</v>
      </c>
      <c r="I25" s="17">
        <v>492795696.29242098</v>
      </c>
    </row>
    <row r="26" spans="1:13" ht="12.75">
      <c r="A26" s="8">
        <f t="shared" si="0"/>
        <v>23</v>
      </c>
      <c r="B26" s="15">
        <v>717544.95700000005</v>
      </c>
      <c r="C26" s="16">
        <v>199118725.5675</v>
      </c>
      <c r="D26" s="3" t="s">
        <v>14</v>
      </c>
      <c r="E26" s="15">
        <v>3465866.0660000001</v>
      </c>
      <c r="F26" s="16">
        <v>961436388.88888884</v>
      </c>
      <c r="G26" s="3" t="s">
        <v>14</v>
      </c>
      <c r="H26" s="15">
        <v>3394299.0194762698</v>
      </c>
      <c r="I26" s="17">
        <v>892897884.06926203</v>
      </c>
    </row>
    <row r="27" spans="1:13" ht="12.75">
      <c r="A27" s="8">
        <f t="shared" si="0"/>
        <v>24</v>
      </c>
      <c r="B27" s="15">
        <f>787901508/1000</f>
        <v>787901.50800000003</v>
      </c>
      <c r="C27" s="16">
        <f>207.263881382122*10^6</f>
        <v>207263881.38212201</v>
      </c>
      <c r="D27" s="3" t="s">
        <v>14</v>
      </c>
      <c r="E27" s="15"/>
      <c r="F27" s="16"/>
      <c r="G27" s="3"/>
      <c r="H27" s="15">
        <v>3839208.8446091828</v>
      </c>
      <c r="I27" s="17">
        <f>1009.93502168836*10^6</f>
        <v>1009935021.6883601</v>
      </c>
    </row>
    <row r="28" spans="1:13" ht="12.75">
      <c r="A28" s="8">
        <f t="shared" si="0"/>
        <v>25</v>
      </c>
      <c r="B28" s="15">
        <f>732543226/1000</f>
        <v>732543.22600000002</v>
      </c>
      <c r="C28" s="16">
        <f>192.701436358897*10^6</f>
        <v>192701436.358897</v>
      </c>
      <c r="D28" s="3" t="s">
        <v>14</v>
      </c>
      <c r="E28" s="15"/>
      <c r="F28" s="16"/>
      <c r="G28" s="3"/>
      <c r="H28" s="15">
        <v>3100073.5450650482</v>
      </c>
      <c r="I28" s="17">
        <f>815.499486923453*10^6</f>
        <v>815499486.92345297</v>
      </c>
    </row>
    <row r="29" spans="1:13" ht="12.75">
      <c r="A29" s="8">
        <f t="shared" si="0"/>
        <v>26</v>
      </c>
      <c r="B29" s="15">
        <f>831608874/1000</f>
        <v>831608.87399999995</v>
      </c>
      <c r="C29" s="16">
        <f>218.761458465257*10^6</f>
        <v>218761458.46525699</v>
      </c>
      <c r="D29" s="3" t="s">
        <v>14</v>
      </c>
      <c r="H29" s="15">
        <v>2258732.2857844736</v>
      </c>
      <c r="I29" s="17">
        <f>594.177845582701*10^6</f>
        <v>594177845.58270097</v>
      </c>
      <c r="K29" s="107"/>
    </row>
    <row r="30" spans="1:13" ht="12.75">
      <c r="A30" s="18">
        <f t="shared" si="0"/>
        <v>27</v>
      </c>
      <c r="B30" s="15">
        <f>613862344/1000</f>
        <v>613862.34400000004</v>
      </c>
      <c r="C30" s="16">
        <f>161.481467873732*10^6</f>
        <v>161481467.873732</v>
      </c>
      <c r="D30" s="3" t="s">
        <v>14</v>
      </c>
      <c r="E30" s="15">
        <v>3297991.389</v>
      </c>
      <c r="F30" s="16">
        <f>(E30/3.6)*1000</f>
        <v>916108719.16666663</v>
      </c>
      <c r="G30" s="3" t="s">
        <v>14</v>
      </c>
      <c r="H30" s="15">
        <v>3354795.3846352529</v>
      </c>
      <c r="I30" s="17">
        <f>882.506132558804*10^6</f>
        <v>882506132.55880404</v>
      </c>
      <c r="K30" s="25"/>
    </row>
    <row r="31" spans="1:13" ht="12.75">
      <c r="A31" s="18">
        <f t="shared" si="0"/>
        <v>28</v>
      </c>
      <c r="B31" s="15">
        <f>458343199/1000</f>
        <v>458343.19900000002</v>
      </c>
      <c r="C31" s="16">
        <f>120.570895556451*10^6</f>
        <v>120570895.55645101</v>
      </c>
      <c r="D31" s="3" t="s">
        <v>14</v>
      </c>
      <c r="E31" s="15"/>
      <c r="F31" s="16"/>
      <c r="G31" s="3"/>
      <c r="H31" s="15">
        <v>4504219.1954708891</v>
      </c>
      <c r="I31" s="17">
        <f>1184.87138756581*10^6</f>
        <v>1184871387.56581</v>
      </c>
      <c r="K31" s="25"/>
    </row>
    <row r="32" spans="1:13" ht="12.75">
      <c r="A32" s="8">
        <f t="shared" si="0"/>
        <v>29</v>
      </c>
      <c r="B32" s="15">
        <f>850289317/1000</f>
        <v>850289.31700000004</v>
      </c>
      <c r="C32" s="16">
        <f>223.675500490568*10^6</f>
        <v>223675500.49056801</v>
      </c>
      <c r="D32" s="3" t="s">
        <v>14</v>
      </c>
      <c r="E32" s="15"/>
      <c r="F32" s="16"/>
      <c r="G32" s="3"/>
      <c r="H32" s="15">
        <v>3633553.2291972595</v>
      </c>
      <c r="I32" s="17">
        <f>955.835644233804*10^6</f>
        <v>955835644.23380399</v>
      </c>
      <c r="K32" s="25"/>
    </row>
    <row r="33" spans="1:11" ht="12.75">
      <c r="A33" s="8">
        <f t="shared" si="0"/>
        <v>30</v>
      </c>
      <c r="B33" s="15">
        <f>850259698/1000</f>
        <v>850259.69799999997</v>
      </c>
      <c r="C33" s="16">
        <f>223.667708972414*10^6</f>
        <v>223667708.97241402</v>
      </c>
      <c r="D33" s="3" t="s">
        <v>14</v>
      </c>
      <c r="E33" s="15"/>
      <c r="F33" s="16"/>
      <c r="G33" s="3"/>
      <c r="H33" s="15">
        <v>2769856.4635498081</v>
      </c>
      <c r="I33" s="17">
        <f>728.633205645153*10^6</f>
        <v>728633205.64515305</v>
      </c>
      <c r="K33" s="25"/>
    </row>
    <row r="34" spans="1:11" ht="12.75">
      <c r="A34" s="8">
        <f t="shared" si="0"/>
        <v>31</v>
      </c>
      <c r="B34" s="15">
        <f>851050265/1000</f>
        <v>851050.26500000001</v>
      </c>
      <c r="C34" s="16">
        <f>223.875674033084*10^6</f>
        <v>223875674.03308401</v>
      </c>
      <c r="D34" s="3" t="s">
        <v>14</v>
      </c>
      <c r="E34" s="15"/>
      <c r="F34" s="16"/>
      <c r="G34" s="3"/>
      <c r="H34" s="15">
        <v>1914740.1698563488</v>
      </c>
      <c r="I34" s="17">
        <f>503.687929789683*10^6</f>
        <v>503687929.78968298</v>
      </c>
    </row>
    <row r="35" spans="1:11" ht="12.75">
      <c r="A35" s="25"/>
      <c r="B35" s="25"/>
      <c r="C35" s="25"/>
      <c r="D35" s="26"/>
      <c r="E35" s="25"/>
      <c r="F35" s="25"/>
      <c r="G35" s="26"/>
      <c r="H35" s="25"/>
      <c r="I35" s="25"/>
    </row>
    <row r="36" spans="1:11" ht="24.6" customHeight="1">
      <c r="A36" s="108"/>
      <c r="B36" s="163" t="s">
        <v>17</v>
      </c>
      <c r="C36" s="163"/>
      <c r="D36" s="163"/>
      <c r="E36" s="164"/>
      <c r="F36" s="164"/>
      <c r="G36" s="164"/>
      <c r="H36" s="164"/>
      <c r="I36" s="121"/>
      <c r="J36" s="121"/>
    </row>
    <row r="37" spans="1:11" ht="24.6" customHeight="1">
      <c r="A37" s="7" t="s">
        <v>4</v>
      </c>
      <c r="B37" s="165" t="s">
        <v>13</v>
      </c>
      <c r="C37" s="165"/>
      <c r="D37" s="165"/>
      <c r="E37" s="165"/>
      <c r="F37" s="165"/>
      <c r="G37" s="165"/>
      <c r="H37" s="165"/>
      <c r="I37" s="122"/>
      <c r="J37" s="121"/>
    </row>
    <row r="38" spans="1:11" ht="24.6" customHeight="1">
      <c r="A38" s="7" t="s">
        <v>5</v>
      </c>
      <c r="B38" s="165" t="s">
        <v>18</v>
      </c>
      <c r="C38" s="165"/>
      <c r="D38" s="165"/>
      <c r="E38" s="166"/>
      <c r="F38" s="166"/>
      <c r="G38" s="166"/>
      <c r="H38" s="166"/>
      <c r="I38" s="123"/>
      <c r="J38" s="123"/>
    </row>
    <row r="39" spans="1:11" ht="24.6" customHeight="1">
      <c r="A39" s="7" t="s">
        <v>6</v>
      </c>
      <c r="B39" s="165" t="s">
        <v>0</v>
      </c>
      <c r="C39" s="165"/>
      <c r="D39" s="165"/>
      <c r="E39" s="165"/>
      <c r="F39" s="165"/>
      <c r="G39" s="165"/>
      <c r="H39" s="165"/>
      <c r="I39" s="122"/>
      <c r="J39" s="123"/>
    </row>
    <row r="40" spans="1:11" ht="24.6" customHeight="1">
      <c r="A40" s="7" t="s">
        <v>7</v>
      </c>
      <c r="B40" s="165" t="s">
        <v>41</v>
      </c>
      <c r="C40" s="165"/>
      <c r="D40" s="165"/>
      <c r="E40" s="166"/>
      <c r="F40" s="166"/>
      <c r="G40" s="166"/>
      <c r="H40" s="166"/>
      <c r="I40" s="123"/>
      <c r="J40" s="4"/>
    </row>
    <row r="41" spans="1:11" ht="24.6" customHeight="1">
      <c r="A41" s="28" t="s">
        <v>19</v>
      </c>
      <c r="B41" s="149" t="s">
        <v>37</v>
      </c>
      <c r="C41" s="167"/>
      <c r="D41" s="167"/>
      <c r="E41" s="167"/>
      <c r="F41" s="167"/>
      <c r="G41" s="167"/>
      <c r="H41" s="167"/>
      <c r="I41" s="124"/>
      <c r="J41" s="6"/>
    </row>
    <row r="42" spans="1:11" ht="24.6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11" ht="12.75">
      <c r="A43" s="1"/>
      <c r="B43" s="1"/>
      <c r="C43" s="1"/>
      <c r="D43" s="1"/>
      <c r="E43" s="1"/>
      <c r="F43" s="1"/>
      <c r="G43" s="1"/>
      <c r="H43" s="1"/>
      <c r="I43" s="1"/>
    </row>
    <row r="44" spans="1:11" ht="12.75"/>
    <row r="45" spans="1:11" ht="12.75"/>
  </sheetData>
  <mergeCells count="13">
    <mergeCell ref="B41:H41"/>
    <mergeCell ref="A1:I1"/>
    <mergeCell ref="A2:A3"/>
    <mergeCell ref="B2:C2"/>
    <mergeCell ref="D2:D3"/>
    <mergeCell ref="E2:F2"/>
    <mergeCell ref="G2:G3"/>
    <mergeCell ref="H2:I2"/>
    <mergeCell ref="B36:H36"/>
    <mergeCell ref="B37:H37"/>
    <mergeCell ref="B38:H38"/>
    <mergeCell ref="B39:H39"/>
    <mergeCell ref="B40:H40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16" workbookViewId="0">
      <selection activeCell="F34" sqref="F34"/>
    </sheetView>
  </sheetViews>
  <sheetFormatPr defaultRowHeight="15.95" customHeight="1"/>
  <cols>
    <col min="1" max="1" width="11.28515625" customWidth="1"/>
    <col min="2" max="2" width="17.28515625" customWidth="1"/>
    <col min="3" max="3" width="15.28515625" customWidth="1"/>
    <col min="4" max="4" width="19.5703125" customWidth="1"/>
    <col min="5" max="5" width="17" customWidth="1"/>
    <col min="6" max="6" width="14.7109375" customWidth="1"/>
    <col min="7" max="7" width="21.7109375" customWidth="1"/>
    <col min="8" max="8" width="17.140625" customWidth="1"/>
    <col min="9" max="9" width="16.140625" customWidth="1"/>
    <col min="11" max="11" width="13.42578125" bestFit="1" customWidth="1"/>
  </cols>
  <sheetData>
    <row r="1" spans="1:15" ht="50.45" customHeight="1" thickBot="1">
      <c r="A1" s="151" t="s">
        <v>46</v>
      </c>
      <c r="B1" s="151"/>
      <c r="C1" s="151"/>
      <c r="D1" s="151"/>
      <c r="E1" s="151"/>
      <c r="F1" s="151"/>
      <c r="G1" s="151"/>
      <c r="H1" s="151"/>
      <c r="I1" s="151"/>
    </row>
    <row r="2" spans="1:15" ht="12.75">
      <c r="A2" s="179" t="s">
        <v>11</v>
      </c>
      <c r="B2" s="169" t="s">
        <v>2</v>
      </c>
      <c r="C2" s="170"/>
      <c r="D2" s="171" t="s">
        <v>12</v>
      </c>
      <c r="E2" s="173" t="s">
        <v>8</v>
      </c>
      <c r="F2" s="174"/>
      <c r="G2" s="175" t="s">
        <v>9</v>
      </c>
      <c r="H2" s="177" t="s">
        <v>10</v>
      </c>
      <c r="I2" s="178"/>
    </row>
    <row r="3" spans="1:15" ht="12.75">
      <c r="A3" s="180"/>
      <c r="B3" s="5" t="s">
        <v>1</v>
      </c>
      <c r="C3" s="10" t="s">
        <v>29</v>
      </c>
      <c r="D3" s="172"/>
      <c r="E3" s="2" t="s">
        <v>1</v>
      </c>
      <c r="F3" s="11" t="s">
        <v>29</v>
      </c>
      <c r="G3" s="176"/>
      <c r="H3" s="12" t="s">
        <v>1</v>
      </c>
      <c r="I3" s="13" t="s">
        <v>29</v>
      </c>
    </row>
    <row r="4" spans="1:15" ht="12.75">
      <c r="A4" s="8">
        <v>1</v>
      </c>
      <c r="B4" s="15">
        <f>732068699/1000</f>
        <v>732068.69900000002</v>
      </c>
      <c r="C4" s="16">
        <f>192.57660818324*10^6</f>
        <v>192576608.18324003</v>
      </c>
      <c r="D4" s="3" t="s">
        <v>14</v>
      </c>
      <c r="E4" s="15">
        <v>3456792.128</v>
      </c>
      <c r="F4" s="16">
        <f>(E4/3.6)*1000</f>
        <v>960220035.55555546</v>
      </c>
      <c r="G4" s="3" t="s">
        <v>14</v>
      </c>
      <c r="H4" s="15">
        <v>1243416.5410196767</v>
      </c>
      <c r="I4" s="17">
        <f>327.090804941663*10^6</f>
        <v>327090804.94166303</v>
      </c>
    </row>
    <row r="5" spans="1:15" ht="12.75">
      <c r="A5" s="8">
        <f>A4+1</f>
        <v>2</v>
      </c>
      <c r="B5" s="15">
        <f>836120614/1000</f>
        <v>836120.61399999994</v>
      </c>
      <c r="C5" s="16">
        <f>219.948308261447*10^6</f>
        <v>219948308.26144701</v>
      </c>
      <c r="D5" s="3" t="s">
        <v>14</v>
      </c>
      <c r="E5" s="15"/>
      <c r="F5" s="16"/>
      <c r="G5" s="3"/>
      <c r="H5" s="15">
        <v>3803310.5386546873</v>
      </c>
      <c r="I5" s="17">
        <f>1000.4916811799*10^6</f>
        <v>1000491681.1798999</v>
      </c>
    </row>
    <row r="6" spans="1:15" ht="12.75">
      <c r="A6" s="38">
        <f>A5+1</f>
        <v>3</v>
      </c>
      <c r="B6" s="15">
        <f>844068526/1000</f>
        <v>844068.52599999995</v>
      </c>
      <c r="C6" s="16">
        <f>222.039070968812*10^6</f>
        <v>222039070.96881202</v>
      </c>
      <c r="D6" s="3" t="s">
        <v>14</v>
      </c>
      <c r="E6" s="15"/>
      <c r="F6" s="16"/>
      <c r="G6" s="3"/>
      <c r="H6" s="15">
        <v>2948673.0870610462</v>
      </c>
      <c r="I6" s="17">
        <f>775.672368622088*10^6</f>
        <v>775672368.62208807</v>
      </c>
    </row>
    <row r="7" spans="1:15" ht="12.75">
      <c r="A7" s="38">
        <f t="shared" ref="A7:A33" si="0">A6+1</f>
        <v>4</v>
      </c>
      <c r="B7" s="15">
        <f>830477078/1000</f>
        <v>830477.07799999998</v>
      </c>
      <c r="C7" s="16">
        <f>218.463730348848*10^6</f>
        <v>218463730.34884802</v>
      </c>
      <c r="D7" s="3" t="s">
        <v>14</v>
      </c>
      <c r="E7" s="15">
        <v>3354949.5950000002</v>
      </c>
      <c r="F7" s="16">
        <f>(E7/3.6)*1000</f>
        <v>931930443.05555558</v>
      </c>
      <c r="G7" s="3" t="s">
        <v>14</v>
      </c>
      <c r="H7" s="15">
        <v>4904555.1449896395</v>
      </c>
      <c r="I7" s="17">
        <f>1290.18300572057*10^6</f>
        <v>1290183005.7205701</v>
      </c>
    </row>
    <row r="8" spans="1:15" ht="12.75">
      <c r="A8" s="8">
        <f t="shared" si="0"/>
        <v>5</v>
      </c>
      <c r="B8" s="15">
        <f>775406133/1000</f>
        <v>775406.13300000003</v>
      </c>
      <c r="C8" s="16">
        <f>203.976871653711*10^6</f>
        <v>203976871.65371099</v>
      </c>
      <c r="D8" s="3" t="s">
        <v>14</v>
      </c>
      <c r="E8" s="15"/>
      <c r="F8" s="16"/>
      <c r="G8" s="3"/>
      <c r="H8" s="15">
        <v>4714326.9165691342</v>
      </c>
      <c r="I8" s="17">
        <f>1240.14192752672*10^6</f>
        <v>1240141927.52672</v>
      </c>
      <c r="K8" s="103"/>
    </row>
    <row r="9" spans="1:15" ht="12.75">
      <c r="A9" s="8">
        <f t="shared" si="0"/>
        <v>6</v>
      </c>
      <c r="B9" s="15">
        <f>850167608/1000</f>
        <v>850167.60800000001</v>
      </c>
      <c r="C9" s="16">
        <f>223.643483951085*10^6</f>
        <v>223643483.951085</v>
      </c>
      <c r="D9" s="3" t="s">
        <v>14</v>
      </c>
      <c r="E9" s="15"/>
      <c r="F9" s="16"/>
      <c r="G9" s="3"/>
      <c r="H9" s="15">
        <v>3841188.4099482456</v>
      </c>
      <c r="I9" s="17">
        <f>1010.45576240462*10^6</f>
        <v>1010455762.4046201</v>
      </c>
    </row>
    <row r="10" spans="1:15" ht="12.75">
      <c r="A10" s="8">
        <f t="shared" si="0"/>
        <v>7</v>
      </c>
      <c r="B10" s="15">
        <f>751855221/1000</f>
        <v>751855.22100000002</v>
      </c>
      <c r="C10" s="16">
        <f>197.781613259551*10^6</f>
        <v>197781613.25955099</v>
      </c>
      <c r="D10" s="3" t="s">
        <v>14</v>
      </c>
      <c r="E10" s="15"/>
      <c r="F10" s="16"/>
      <c r="G10" s="3"/>
      <c r="H10" s="15">
        <v>3087122.1717628008</v>
      </c>
      <c r="I10" s="17">
        <f>812.092523143594*10^6</f>
        <v>812092523.14359403</v>
      </c>
      <c r="K10" s="104"/>
    </row>
    <row r="11" spans="1:15" ht="12.75">
      <c r="A11" s="8">
        <f t="shared" si="0"/>
        <v>8</v>
      </c>
      <c r="B11" s="15">
        <f>702398385/1000</f>
        <v>702398.38500000001</v>
      </c>
      <c r="C11" s="16">
        <f>184.771591466016*10^6</f>
        <v>184771591.46601599</v>
      </c>
      <c r="D11" s="3" t="s">
        <v>14</v>
      </c>
      <c r="E11" s="15"/>
      <c r="F11" s="16"/>
      <c r="G11" s="3"/>
      <c r="H11" s="15">
        <v>2378148.2952970695</v>
      </c>
      <c r="I11" s="17">
        <f>625.591195321771*10^6</f>
        <v>625591195.32177103</v>
      </c>
      <c r="O11" t="s">
        <v>38</v>
      </c>
    </row>
    <row r="12" spans="1:15" ht="12.75">
      <c r="A12" s="8">
        <f t="shared" si="0"/>
        <v>9</v>
      </c>
      <c r="B12" s="15">
        <f>673034708/1000</f>
        <v>673034.70799999998</v>
      </c>
      <c r="C12" s="16">
        <f>177.047238098398*10^6</f>
        <v>177047238.098398</v>
      </c>
      <c r="D12" s="3" t="s">
        <v>14</v>
      </c>
      <c r="E12" s="15">
        <v>3318993.5729999999</v>
      </c>
      <c r="F12" s="16">
        <f>(E12/3.6)*1000</f>
        <v>921942659.16666651</v>
      </c>
      <c r="G12" s="3" t="s">
        <v>14</v>
      </c>
      <c r="H12" s="15">
        <v>3094016.2763418029</v>
      </c>
      <c r="I12" s="17">
        <f>813.906073262727*10^6</f>
        <v>813906073.26272702</v>
      </c>
    </row>
    <row r="13" spans="1:15" ht="12.75">
      <c r="A13" s="38">
        <f t="shared" si="0"/>
        <v>10</v>
      </c>
      <c r="B13" s="15">
        <f>538058996/1000</f>
        <v>538058.99600000004</v>
      </c>
      <c r="C13" s="16">
        <f>141.540782434354*10^6</f>
        <v>141540782.43435401</v>
      </c>
      <c r="D13" s="3" t="s">
        <v>14</v>
      </c>
      <c r="E13" s="15"/>
      <c r="F13" s="16"/>
      <c r="G13" s="3"/>
      <c r="H13" s="15">
        <v>4492047.8868500004</v>
      </c>
      <c r="I13" s="17">
        <f>1181.66962612653*10^6</f>
        <v>1181669626.1265299</v>
      </c>
      <c r="K13" s="105"/>
    </row>
    <row r="14" spans="1:15" ht="12.75">
      <c r="A14" s="38">
        <f t="shared" si="0"/>
        <v>11</v>
      </c>
      <c r="B14" s="15">
        <f>623545862/1000</f>
        <v>623545.86199999996</v>
      </c>
      <c r="C14" s="16">
        <f>164.028795814769*10^6</f>
        <v>164028795.814769</v>
      </c>
      <c r="D14" s="3" t="s">
        <v>14</v>
      </c>
      <c r="E14" s="15"/>
      <c r="F14" s="16"/>
      <c r="G14" s="3"/>
      <c r="H14" s="15">
        <v>3858471.040592981</v>
      </c>
      <c r="I14" s="17">
        <f>1015.00209855394*10^6</f>
        <v>1015002098.5539399</v>
      </c>
      <c r="K14" s="105"/>
      <c r="N14" t="s">
        <v>39</v>
      </c>
    </row>
    <row r="15" spans="1:15" ht="12.75">
      <c r="A15" s="8">
        <f t="shared" si="0"/>
        <v>12</v>
      </c>
      <c r="B15" s="15">
        <f>736472474/1000</f>
        <v>736472.47400000005</v>
      </c>
      <c r="C15" s="16">
        <f>193.735056910608*10^6</f>
        <v>193735056.91060799</v>
      </c>
      <c r="D15" s="3" t="s">
        <v>14</v>
      </c>
      <c r="E15" s="15"/>
      <c r="F15" s="16"/>
      <c r="G15" s="3"/>
      <c r="H15" s="15">
        <v>3113909.6623871154</v>
      </c>
      <c r="I15" s="17">
        <f>819.1391897928*10^6</f>
        <v>819139189.79280007</v>
      </c>
      <c r="K15" s="105"/>
    </row>
    <row r="16" spans="1:15" ht="12.75">
      <c r="A16" s="8">
        <f t="shared" si="0"/>
        <v>13</v>
      </c>
      <c r="B16" s="15">
        <f>748143379/1000</f>
        <v>748143.37899999996</v>
      </c>
      <c r="C16" s="16">
        <f>196.805183119253*10^6</f>
        <v>196805183.11925301</v>
      </c>
      <c r="D16" s="3" t="s">
        <v>14</v>
      </c>
      <c r="E16" s="15">
        <v>3501804.2009999999</v>
      </c>
      <c r="F16" s="16">
        <f>(E16/3.6)*1000</f>
        <v>972723389.16666663</v>
      </c>
      <c r="G16" s="3" t="s">
        <v>14</v>
      </c>
      <c r="H16" s="15">
        <v>3795880.9405718753</v>
      </c>
      <c r="I16" s="17">
        <f>998.537265151858*10^6</f>
        <v>998537265.15185809</v>
      </c>
    </row>
    <row r="17" spans="1:13" ht="12.75">
      <c r="A17" s="8">
        <f t="shared" si="0"/>
        <v>14</v>
      </c>
      <c r="B17" s="15">
        <f>850580354/1000</f>
        <v>850580.35400000005</v>
      </c>
      <c r="C17" s="16">
        <f>223.752060133662*10^6</f>
        <v>223752060.13366202</v>
      </c>
      <c r="D17" s="3" t="s">
        <v>14</v>
      </c>
      <c r="E17" s="15"/>
      <c r="F17" s="16"/>
      <c r="G17" s="3"/>
      <c r="H17" s="15">
        <v>5017729.5591177652</v>
      </c>
      <c r="I17" s="17">
        <f>1319.95445317583*10^6</f>
        <v>1319954453.1758299</v>
      </c>
    </row>
    <row r="18" spans="1:13" ht="12.75">
      <c r="A18" s="8">
        <f t="shared" si="0"/>
        <v>15</v>
      </c>
      <c r="B18" s="15">
        <f>691283994/1000</f>
        <v>691283.99399999995</v>
      </c>
      <c r="C18" s="16">
        <f>181.847860778273*10^6</f>
        <v>181847860.77827302</v>
      </c>
      <c r="D18" s="3" t="s">
        <v>14</v>
      </c>
      <c r="E18" s="15"/>
      <c r="F18" s="16"/>
      <c r="G18" s="3"/>
      <c r="H18" s="15">
        <v>4325408.6802505767</v>
      </c>
      <c r="I18" s="17">
        <f>1137.83383142434*10^6</f>
        <v>1137833831.42434</v>
      </c>
    </row>
    <row r="19" spans="1:13" ht="12.75">
      <c r="A19" s="8">
        <f t="shared" si="0"/>
        <v>16</v>
      </c>
      <c r="B19" s="15">
        <f>851864077/1000</f>
        <v>851864.07700000005</v>
      </c>
      <c r="C19" s="16">
        <f>224.089753879515*10^6</f>
        <v>224089753.87951499</v>
      </c>
      <c r="D19" s="3" t="s">
        <v>14</v>
      </c>
      <c r="E19" s="15"/>
      <c r="F19" s="16"/>
      <c r="G19" s="3"/>
      <c r="H19" s="15">
        <v>3459768.5199279329</v>
      </c>
      <c r="I19" s="17">
        <f>910.120167105888*10^6</f>
        <v>910120167.10588801</v>
      </c>
      <c r="K19" s="105"/>
    </row>
    <row r="20" spans="1:13" ht="12.75">
      <c r="A20" s="38">
        <f t="shared" si="0"/>
        <v>17</v>
      </c>
      <c r="B20" s="15">
        <f>836417790/1000</f>
        <v>836417.79</v>
      </c>
      <c r="C20" s="16">
        <f>220.026482818277*10^6</f>
        <v>220026482.818277</v>
      </c>
      <c r="D20" s="3" t="s">
        <v>14</v>
      </c>
      <c r="E20" s="15"/>
      <c r="F20" s="16"/>
      <c r="G20" s="3"/>
      <c r="H20" s="15">
        <v>2612651.5721583897</v>
      </c>
      <c r="I20" s="17">
        <f>687.279184068588*10^6</f>
        <v>687279184.06858802</v>
      </c>
      <c r="K20" s="105"/>
      <c r="M20" s="106"/>
    </row>
    <row r="21" spans="1:13" ht="12.75">
      <c r="A21" s="38">
        <f t="shared" si="0"/>
        <v>18</v>
      </c>
      <c r="B21" s="15">
        <f>514460272/1000</f>
        <v>514460.272</v>
      </c>
      <c r="C21" s="16">
        <f>135.332946705849*10^6</f>
        <v>135332946.70584899</v>
      </c>
      <c r="D21" s="3" t="s">
        <v>14</v>
      </c>
      <c r="E21" s="15"/>
      <c r="F21" s="16"/>
      <c r="G21" s="3"/>
      <c r="H21" s="15">
        <v>2097280.5751897455</v>
      </c>
      <c r="I21" s="17">
        <f>551.706663773964*10^6</f>
        <v>551706663.77396405</v>
      </c>
      <c r="K21" s="105"/>
    </row>
    <row r="22" spans="1:13" ht="12.75">
      <c r="A22" s="8">
        <f t="shared" si="0"/>
        <v>19</v>
      </c>
      <c r="B22" s="15">
        <f>851936902/1000</f>
        <v>851936.902</v>
      </c>
      <c r="C22" s="16">
        <f>224.108911086359*10^6</f>
        <v>224108911.08635899</v>
      </c>
      <c r="D22" s="3" t="s">
        <v>14</v>
      </c>
      <c r="E22" s="15"/>
      <c r="F22" s="16"/>
      <c r="G22" s="3"/>
      <c r="H22" s="15">
        <v>1231437.5836774891</v>
      </c>
      <c r="I22" s="17">
        <f>323.93964306617*10^6</f>
        <v>323939643.06616998</v>
      </c>
    </row>
    <row r="23" spans="1:13" ht="12.75">
      <c r="A23" s="8">
        <f t="shared" si="0"/>
        <v>20</v>
      </c>
      <c r="B23" s="15">
        <f>852579117/1000</f>
        <v>852579.11699999997</v>
      </c>
      <c r="C23" s="16">
        <f>224.277850950327*10^6</f>
        <v>224277850.95032701</v>
      </c>
      <c r="D23" s="3" t="s">
        <v>14</v>
      </c>
      <c r="E23" s="15">
        <v>3465958.2949999999</v>
      </c>
      <c r="F23" s="16">
        <f>(E23/3.6)*1000</f>
        <v>962766193.05555546</v>
      </c>
      <c r="G23" s="3" t="s">
        <v>14</v>
      </c>
      <c r="H23" s="15">
        <v>2759072.3358193268</v>
      </c>
      <c r="I23" s="17">
        <f>725.796353388817*10^6</f>
        <v>725796353.38881695</v>
      </c>
    </row>
    <row r="24" spans="1:13" ht="12.75">
      <c r="A24" s="8">
        <f t="shared" si="0"/>
        <v>21</v>
      </c>
      <c r="B24" s="15">
        <f>851046906/1000</f>
        <v>851046.90599999996</v>
      </c>
      <c r="C24" s="16">
        <f>223.874790420893*10^6</f>
        <v>223874790.42089298</v>
      </c>
      <c r="D24" s="3" t="s">
        <v>14</v>
      </c>
      <c r="E24" s="15"/>
      <c r="F24" s="16"/>
      <c r="G24" s="3"/>
      <c r="H24" s="15">
        <v>3004861.0993480529</v>
      </c>
      <c r="I24" s="17">
        <f>790.453080926235*10^6</f>
        <v>790453080.92623496</v>
      </c>
    </row>
    <row r="25" spans="1:13" ht="12.75">
      <c r="A25" s="8">
        <f t="shared" si="0"/>
        <v>22</v>
      </c>
      <c r="B25" s="15">
        <f>776304628/1000</f>
        <v>776304.62800000003</v>
      </c>
      <c r="C25" s="16">
        <f>204.213228050052*10^6</f>
        <v>204213228.05005202</v>
      </c>
      <c r="D25" s="3" t="s">
        <v>14</v>
      </c>
      <c r="E25" s="15"/>
      <c r="F25" s="16"/>
      <c r="G25" s="3"/>
      <c r="H25" s="15">
        <v>2219867.0272295894</v>
      </c>
      <c r="I25" s="17">
        <f>583.954024131397*10^6</f>
        <v>583954024.13139701</v>
      </c>
    </row>
    <row r="26" spans="1:13" ht="12.75">
      <c r="A26" s="8">
        <f t="shared" si="0"/>
        <v>23</v>
      </c>
      <c r="B26" s="15">
        <f>851523620/1000</f>
        <v>851523.62</v>
      </c>
      <c r="C26" s="16">
        <f>224.000193904636*10^6</f>
        <v>224000193.904636</v>
      </c>
      <c r="D26" s="3" t="s">
        <v>14</v>
      </c>
      <c r="E26" s="15"/>
      <c r="F26" s="16"/>
      <c r="G26" s="3"/>
      <c r="H26" s="15">
        <v>1352379.8275267079</v>
      </c>
      <c r="I26" s="17">
        <f>355.754481124904*10^6</f>
        <v>355754481.12490398</v>
      </c>
    </row>
    <row r="27" spans="1:13" ht="12.75">
      <c r="A27" s="38">
        <f t="shared" si="0"/>
        <v>24</v>
      </c>
      <c r="B27" s="15">
        <f>676957249/1000</f>
        <v>676957.24899999995</v>
      </c>
      <c r="C27" s="16">
        <f>178.079094319367*10^6</f>
        <v>178079094.31936699</v>
      </c>
      <c r="D27" s="3" t="s">
        <v>14</v>
      </c>
      <c r="E27" s="15">
        <v>3333876.5929999999</v>
      </c>
      <c r="F27" s="16">
        <f>(E27/3.6)*1000</f>
        <v>926076831.38888884</v>
      </c>
      <c r="G27" s="3" t="s">
        <v>14</v>
      </c>
      <c r="H27" s="15">
        <v>2319615.7772312504</v>
      </c>
      <c r="I27" s="17">
        <f>610.193741759098*10^6</f>
        <v>610193741.75909793</v>
      </c>
    </row>
    <row r="28" spans="1:13" ht="12.75">
      <c r="A28" s="38">
        <f t="shared" si="0"/>
        <v>25</v>
      </c>
      <c r="B28" s="15">
        <f>553726065/1000</f>
        <v>553726.06499999994</v>
      </c>
      <c r="C28" s="16">
        <f>145.662131991184*10^6</f>
        <v>145662131.991184</v>
      </c>
      <c r="D28" s="3" t="s">
        <v>14</v>
      </c>
      <c r="E28" s="15"/>
      <c r="F28" s="16"/>
      <c r="G28" s="3"/>
      <c r="H28" s="15">
        <v>3464135.2293118155</v>
      </c>
      <c r="I28" s="17">
        <f>911.268865422342*10^6</f>
        <v>911268865.42234194</v>
      </c>
    </row>
    <row r="29" spans="1:13" ht="12.75">
      <c r="A29" s="8">
        <f t="shared" si="0"/>
        <v>26</v>
      </c>
      <c r="B29" s="15">
        <f>842939521/1000</f>
        <v>842939.52099999995</v>
      </c>
      <c r="C29" s="16">
        <f>221.742077047587*10^6</f>
        <v>221742077.04758701</v>
      </c>
      <c r="D29" s="3" t="s">
        <v>14</v>
      </c>
      <c r="E29" s="15"/>
      <c r="F29" s="16"/>
      <c r="G29" s="3"/>
      <c r="H29" s="15">
        <v>2602099.4397123922</v>
      </c>
      <c r="I29" s="17">
        <f>684.503360053265*10^6</f>
        <v>684503360.05326509</v>
      </c>
      <c r="K29" s="107"/>
    </row>
    <row r="30" spans="1:13" ht="12.75">
      <c r="A30" s="8">
        <f t="shared" si="0"/>
        <v>27</v>
      </c>
      <c r="B30" s="15">
        <f>851509763/1000</f>
        <v>851509.76300000004</v>
      </c>
      <c r="C30" s="16">
        <f>223.996548708408*10^6</f>
        <v>223996548.708408</v>
      </c>
      <c r="D30" s="3" t="s">
        <v>14</v>
      </c>
      <c r="E30" s="15"/>
      <c r="F30" s="16"/>
      <c r="G30" s="3"/>
      <c r="H30" s="15">
        <v>1742533.1962000004</v>
      </c>
      <c r="I30" s="17">
        <f>458.38748880984*10^6</f>
        <v>458387488.80984002</v>
      </c>
      <c r="K30" s="25"/>
    </row>
    <row r="31" spans="1:13" ht="12.75">
      <c r="A31" s="8">
        <f t="shared" si="0"/>
        <v>28</v>
      </c>
      <c r="B31" s="15">
        <f>803974553/1000</f>
        <v>803974.55299999996</v>
      </c>
      <c r="C31" s="16">
        <f>211.492026218125*10^6</f>
        <v>211492026.21812502</v>
      </c>
      <c r="D31" s="3" t="s">
        <v>14</v>
      </c>
      <c r="E31" s="15">
        <v>3483560.1159999999</v>
      </c>
      <c r="F31" s="16">
        <f>(E31/3.6)*1000</f>
        <v>967655587.77777767</v>
      </c>
      <c r="G31" s="3" t="s">
        <v>14</v>
      </c>
      <c r="H31" s="15">
        <v>2516965.6740100603</v>
      </c>
      <c r="I31" s="17">
        <f>662.108232569714*10^6</f>
        <v>662108232.56971395</v>
      </c>
      <c r="K31" s="25"/>
    </row>
    <row r="32" spans="1:13" ht="12.75">
      <c r="A32" s="8">
        <f t="shared" si="0"/>
        <v>29</v>
      </c>
      <c r="B32" s="15">
        <f>812473683/1000</f>
        <v>812473.68299999996</v>
      </c>
      <c r="C32" s="16">
        <f>213.727791290644*10^6</f>
        <v>213727791.29064402</v>
      </c>
      <c r="D32" s="3" t="s">
        <v>14</v>
      </c>
      <c r="E32" s="15"/>
      <c r="F32" s="16"/>
      <c r="G32" s="3"/>
      <c r="H32" s="15">
        <v>3612647.7831861298</v>
      </c>
      <c r="I32" s="17">
        <f>950.336297122145*10^6</f>
        <v>950336297.12214494</v>
      </c>
      <c r="K32" s="25"/>
    </row>
    <row r="33" spans="1:11" ht="12.75">
      <c r="A33" s="8">
        <f t="shared" si="0"/>
        <v>30</v>
      </c>
      <c r="B33" s="15">
        <f>723943675/1000</f>
        <v>723943.67500000005</v>
      </c>
      <c r="C33" s="16">
        <f>190.439254727936*10^6</f>
        <v>190439254.727936</v>
      </c>
      <c r="D33" s="3" t="s">
        <v>14</v>
      </c>
      <c r="E33" s="15"/>
      <c r="F33" s="16"/>
      <c r="G33" s="3"/>
      <c r="H33" s="15">
        <v>2880818.9577431735</v>
      </c>
      <c r="I33" s="17">
        <f>757.822789623406*10^6</f>
        <v>757822789.62340605</v>
      </c>
      <c r="K33" s="25"/>
    </row>
    <row r="34" spans="1:11" ht="32.450000000000003" customHeight="1">
      <c r="A34" s="25"/>
      <c r="B34" s="25"/>
      <c r="C34" s="25"/>
      <c r="D34" s="26"/>
      <c r="E34" s="25"/>
      <c r="F34" s="25"/>
      <c r="G34" s="26"/>
      <c r="H34" s="25"/>
      <c r="I34" s="25"/>
    </row>
    <row r="35" spans="1:11" ht="12.75">
      <c r="A35" s="108"/>
      <c r="B35" s="163" t="s">
        <v>17</v>
      </c>
      <c r="C35" s="163"/>
      <c r="D35" s="163"/>
      <c r="E35" s="164"/>
      <c r="F35" s="164"/>
      <c r="G35" s="164"/>
      <c r="H35" s="164"/>
      <c r="I35" s="125"/>
      <c r="J35" s="125"/>
    </row>
    <row r="36" spans="1:11" ht="26.45" customHeight="1">
      <c r="A36" s="7" t="s">
        <v>4</v>
      </c>
      <c r="B36" s="165" t="s">
        <v>13</v>
      </c>
      <c r="C36" s="165"/>
      <c r="D36" s="165"/>
      <c r="E36" s="165"/>
      <c r="F36" s="165"/>
      <c r="G36" s="165"/>
      <c r="H36" s="165"/>
      <c r="I36" s="126"/>
      <c r="J36" s="125"/>
    </row>
    <row r="37" spans="1:11" ht="33" customHeight="1">
      <c r="A37" s="7" t="s">
        <v>5</v>
      </c>
      <c r="B37" s="165" t="s">
        <v>18</v>
      </c>
      <c r="C37" s="165"/>
      <c r="D37" s="165"/>
      <c r="E37" s="166"/>
      <c r="F37" s="166"/>
      <c r="G37" s="166"/>
      <c r="H37" s="166"/>
      <c r="I37" s="127"/>
      <c r="J37" s="127"/>
    </row>
    <row r="38" spans="1:11" ht="12.75">
      <c r="A38" s="7" t="s">
        <v>6</v>
      </c>
      <c r="B38" s="165" t="s">
        <v>0</v>
      </c>
      <c r="C38" s="165"/>
      <c r="D38" s="165"/>
      <c r="E38" s="165"/>
      <c r="F38" s="165"/>
      <c r="G38" s="165"/>
      <c r="H38" s="165"/>
      <c r="I38" s="126"/>
      <c r="J38" s="127"/>
    </row>
    <row r="39" spans="1:11" ht="12.75">
      <c r="A39" s="7" t="s">
        <v>7</v>
      </c>
      <c r="B39" s="165" t="s">
        <v>41</v>
      </c>
      <c r="C39" s="165"/>
      <c r="D39" s="165"/>
      <c r="E39" s="166"/>
      <c r="F39" s="166"/>
      <c r="G39" s="166"/>
      <c r="H39" s="166"/>
      <c r="I39" s="127"/>
      <c r="J39" s="4"/>
    </row>
    <row r="40" spans="1:11" ht="29.45" customHeight="1">
      <c r="A40" s="28" t="s">
        <v>19</v>
      </c>
      <c r="B40" s="149" t="s">
        <v>37</v>
      </c>
      <c r="C40" s="167"/>
      <c r="D40" s="167"/>
      <c r="E40" s="167"/>
      <c r="F40" s="167"/>
      <c r="G40" s="167"/>
      <c r="H40" s="167"/>
      <c r="I40" s="128"/>
      <c r="J40" s="6"/>
    </row>
    <row r="41" spans="1:11" ht="12.75">
      <c r="A41" s="1"/>
      <c r="B41" s="1"/>
      <c r="C41" s="1"/>
      <c r="D41" s="1"/>
      <c r="E41" s="1"/>
      <c r="F41" s="1"/>
      <c r="G41" s="1"/>
      <c r="H41" s="1"/>
      <c r="I41" s="1"/>
    </row>
    <row r="42" spans="1:11" ht="12.75">
      <c r="A42" s="1"/>
      <c r="B42" s="1"/>
      <c r="C42" s="1"/>
      <c r="D42" s="1"/>
      <c r="E42" s="1"/>
      <c r="F42" s="1"/>
      <c r="G42" s="1"/>
      <c r="H42" s="1"/>
      <c r="I42" s="1"/>
    </row>
    <row r="43" spans="1:11" ht="12.75"/>
    <row r="44" spans="1:11" ht="12.75"/>
  </sheetData>
  <mergeCells count="13">
    <mergeCell ref="B40:H40"/>
    <mergeCell ref="A1:I1"/>
    <mergeCell ref="A2:A3"/>
    <mergeCell ref="B2:C2"/>
    <mergeCell ref="D2:D3"/>
    <mergeCell ref="E2:F2"/>
    <mergeCell ref="G2:G3"/>
    <mergeCell ref="H2:I2"/>
    <mergeCell ref="B35:H35"/>
    <mergeCell ref="B36:H36"/>
    <mergeCell ref="B37:H37"/>
    <mergeCell ref="B38:H38"/>
    <mergeCell ref="B39:H39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7" workbookViewId="0">
      <selection activeCell="B36" sqref="B36:H36"/>
    </sheetView>
  </sheetViews>
  <sheetFormatPr defaultRowHeight="15.95" customHeight="1"/>
  <cols>
    <col min="1" max="1" width="11.28515625" customWidth="1"/>
    <col min="2" max="2" width="17.28515625" customWidth="1"/>
    <col min="3" max="3" width="15.28515625" customWidth="1"/>
    <col min="4" max="4" width="19.5703125" customWidth="1"/>
    <col min="5" max="5" width="17" customWidth="1"/>
    <col min="6" max="6" width="14.7109375" customWidth="1"/>
    <col min="7" max="7" width="21.7109375" customWidth="1"/>
    <col min="8" max="8" width="17.140625" customWidth="1"/>
    <col min="9" max="9" width="16.140625" customWidth="1"/>
    <col min="11" max="11" width="13.42578125" bestFit="1" customWidth="1"/>
  </cols>
  <sheetData>
    <row r="1" spans="1:15" ht="50.45" customHeight="1" thickBot="1">
      <c r="A1" s="151" t="s">
        <v>47</v>
      </c>
      <c r="B1" s="151"/>
      <c r="C1" s="151"/>
      <c r="D1" s="151"/>
      <c r="E1" s="151"/>
      <c r="F1" s="151"/>
      <c r="G1" s="151"/>
      <c r="H1" s="151"/>
      <c r="I1" s="151"/>
    </row>
    <row r="2" spans="1:15" ht="12.75">
      <c r="A2" s="179" t="s">
        <v>11</v>
      </c>
      <c r="B2" s="169" t="s">
        <v>2</v>
      </c>
      <c r="C2" s="170"/>
      <c r="D2" s="171" t="s">
        <v>12</v>
      </c>
      <c r="E2" s="173" t="s">
        <v>8</v>
      </c>
      <c r="F2" s="174"/>
      <c r="G2" s="175" t="s">
        <v>9</v>
      </c>
      <c r="H2" s="177" t="s">
        <v>10</v>
      </c>
      <c r="I2" s="178"/>
    </row>
    <row r="3" spans="1:15" ht="12.75">
      <c r="A3" s="180"/>
      <c r="B3" s="5" t="s">
        <v>1</v>
      </c>
      <c r="C3" s="10" t="s">
        <v>29</v>
      </c>
      <c r="D3" s="172"/>
      <c r="E3" s="2" t="s">
        <v>1</v>
      </c>
      <c r="F3" s="11" t="s">
        <v>29</v>
      </c>
      <c r="G3" s="176"/>
      <c r="H3" s="12" t="s">
        <v>1</v>
      </c>
      <c r="I3" s="13" t="s">
        <v>29</v>
      </c>
    </row>
    <row r="4" spans="1:15" ht="12.75">
      <c r="A4" s="18">
        <v>1</v>
      </c>
      <c r="B4" s="15">
        <f>478751787/1000</f>
        <v>478751.78700000001</v>
      </c>
      <c r="C4" s="16">
        <f>125.939540138876*10^6</f>
        <v>125939540.13887599</v>
      </c>
      <c r="D4" s="3" t="s">
        <v>14</v>
      </c>
      <c r="E4" s="15"/>
      <c r="F4" s="16"/>
      <c r="G4" s="3"/>
      <c r="H4" s="15">
        <v>2394648.3460818366</v>
      </c>
      <c r="I4" s="17">
        <f>629.931667492378*10^6</f>
        <v>629931667.492378</v>
      </c>
    </row>
    <row r="5" spans="1:15" ht="12.75">
      <c r="A5" s="18">
        <f>A4+1</f>
        <v>2</v>
      </c>
      <c r="B5" s="15">
        <f>395547275/1000</f>
        <v>395547.27500000002</v>
      </c>
      <c r="C5" s="16">
        <f>104.051918487534*10^6</f>
        <v>104051918.487534</v>
      </c>
      <c r="D5" s="3" t="s">
        <v>14</v>
      </c>
      <c r="E5" s="15">
        <v>3321593.1469999999</v>
      </c>
      <c r="F5" s="16">
        <f>(E5/3.6)*1000</f>
        <v>922664763.05555558</v>
      </c>
      <c r="G5" s="3" t="s">
        <v>14</v>
      </c>
      <c r="H5" s="15">
        <v>4714126.8999841828</v>
      </c>
      <c r="I5" s="17">
        <f>1240.08931154196*10^6</f>
        <v>1240089311.54196</v>
      </c>
    </row>
    <row r="6" spans="1:15" ht="12.75">
      <c r="A6" s="8">
        <f>A5+1</f>
        <v>3</v>
      </c>
      <c r="B6" s="15">
        <f>692554150/1000</f>
        <v>692554.15</v>
      </c>
      <c r="C6" s="16">
        <f>182.18198561475*10^6</f>
        <v>182181985.61475</v>
      </c>
      <c r="D6" s="3" t="s">
        <v>14</v>
      </c>
      <c r="E6" s="15"/>
      <c r="F6" s="16"/>
      <c r="G6" s="3"/>
      <c r="H6" s="15">
        <v>4622415.1038152408</v>
      </c>
      <c r="I6" s="17">
        <f>1215.96377979783*10^6</f>
        <v>1215963779.7978301</v>
      </c>
    </row>
    <row r="7" spans="1:15" ht="12.75">
      <c r="A7" s="8">
        <f t="shared" ref="A7:A34" si="0">A6+1</f>
        <v>4</v>
      </c>
      <c r="B7" s="15">
        <f>712812165/1000</f>
        <v>712812.16500000004</v>
      </c>
      <c r="C7" s="16">
        <f>187.511020748412*10^6</f>
        <v>187511020.74841198</v>
      </c>
      <c r="D7" s="3" t="s">
        <v>14</v>
      </c>
      <c r="E7" s="15"/>
      <c r="F7" s="16"/>
      <c r="G7" s="3"/>
      <c r="H7" s="15">
        <v>3900075.92750976</v>
      </c>
      <c r="I7" s="17">
        <f>1025.94660146361*10^6</f>
        <v>1025946601.4636101</v>
      </c>
    </row>
    <row r="8" spans="1:15" ht="12.75">
      <c r="A8" s="8">
        <f t="shared" si="0"/>
        <v>5</v>
      </c>
      <c r="B8" s="15">
        <f>673306134/1000</f>
        <v>673306.13399999996</v>
      </c>
      <c r="C8" s="16">
        <f>177.118638908901*10^6</f>
        <v>177118638.90890101</v>
      </c>
      <c r="D8" s="3" t="s">
        <v>14</v>
      </c>
      <c r="E8" s="15"/>
      <c r="F8" s="16"/>
      <c r="G8" s="3"/>
      <c r="H8" s="15">
        <v>3215407.4196882937</v>
      </c>
      <c r="I8" s="17">
        <f>845.838997974691*10^6</f>
        <v>845838997.97469103</v>
      </c>
      <c r="K8" s="103"/>
    </row>
    <row r="9" spans="1:15" ht="12.75">
      <c r="A9" s="8">
        <f t="shared" si="0"/>
        <v>6</v>
      </c>
      <c r="B9" s="15">
        <f>791277514/1000</f>
        <v>791277.51399999997</v>
      </c>
      <c r="C9" s="16">
        <f>208.151967139065*10^6</f>
        <v>208151967.139065</v>
      </c>
      <c r="D9" s="3" t="s">
        <v>14</v>
      </c>
      <c r="E9" s="15">
        <v>3408357.22</v>
      </c>
      <c r="F9" s="16">
        <f>(E9/3.6)*1000</f>
        <v>946765894.44444442</v>
      </c>
      <c r="G9" s="3" t="s">
        <v>14</v>
      </c>
      <c r="H9" s="15">
        <v>5309867.7945912024</v>
      </c>
      <c r="I9" s="17">
        <f>1396.80378519202*10^6</f>
        <v>1396803785.1920202</v>
      </c>
    </row>
    <row r="10" spans="1:15" ht="12.75">
      <c r="A10" s="8">
        <f t="shared" si="0"/>
        <v>7</v>
      </c>
      <c r="B10" s="15">
        <f>514154162/1000</f>
        <v>514154.16200000001</v>
      </c>
      <c r="C10" s="16">
        <f>135.252421987866*10^6</f>
        <v>135252421.98786601</v>
      </c>
      <c r="D10" s="3" t="s">
        <v>14</v>
      </c>
      <c r="E10" s="15"/>
      <c r="F10" s="16"/>
      <c r="G10" s="3"/>
      <c r="H10" s="15">
        <v>5312054.3231990142</v>
      </c>
      <c r="I10" s="17">
        <f>1397.37896927455*10^6</f>
        <v>1397378969.27455</v>
      </c>
      <c r="K10" s="104"/>
    </row>
    <row r="11" spans="1:15" ht="12.75">
      <c r="A11" s="18">
        <f t="shared" si="0"/>
        <v>8</v>
      </c>
      <c r="B11" s="15">
        <f>355941314/1000</f>
        <v>355941.31400000001</v>
      </c>
      <c r="C11" s="16">
        <f>93.6332492511138*10^6</f>
        <v>93633249.251113802</v>
      </c>
      <c r="D11" s="3" t="s">
        <v>14</v>
      </c>
      <c r="E11" s="15"/>
      <c r="F11" s="16"/>
      <c r="G11" s="3"/>
      <c r="H11" s="15">
        <v>4952862.6235996159</v>
      </c>
      <c r="I11" s="17">
        <f>1302.89067973163*10^6</f>
        <v>1302890679.7316298</v>
      </c>
      <c r="O11" t="s">
        <v>38</v>
      </c>
    </row>
    <row r="12" spans="1:15" ht="12.75">
      <c r="A12" s="18">
        <f t="shared" si="0"/>
        <v>9</v>
      </c>
      <c r="B12" s="15">
        <f>237256243/1000</f>
        <v>237256.24299999999</v>
      </c>
      <c r="C12" s="16">
        <f>62.4121788155275*10^6</f>
        <v>62412178.815527499</v>
      </c>
      <c r="D12" s="3" t="s">
        <v>14</v>
      </c>
      <c r="E12" s="15"/>
      <c r="F12" s="16"/>
      <c r="G12" s="3"/>
      <c r="H12" s="15">
        <v>4708239.2261617314</v>
      </c>
      <c r="I12" s="17">
        <f>1238.54051119526*10^6</f>
        <v>1238540511.19526</v>
      </c>
    </row>
    <row r="13" spans="1:15" ht="12.75">
      <c r="A13" s="8">
        <f t="shared" si="0"/>
        <v>10</v>
      </c>
      <c r="B13" s="15">
        <f>573936608/1000</f>
        <v>573936.60800000001</v>
      </c>
      <c r="C13" s="16">
        <f>150.978679230259*10^6</f>
        <v>150978679.230259</v>
      </c>
      <c r="D13" s="3" t="s">
        <v>14</v>
      </c>
      <c r="E13" s="15"/>
      <c r="F13" s="16"/>
      <c r="G13" s="3"/>
      <c r="H13" s="15">
        <v>4121974.3268654328</v>
      </c>
      <c r="I13" s="17">
        <f>1084.31877495986*10^6</f>
        <v>1084318774.9598601</v>
      </c>
      <c r="K13" s="105"/>
    </row>
    <row r="14" spans="1:15" ht="12.75">
      <c r="A14" s="8">
        <f t="shared" si="0"/>
        <v>11</v>
      </c>
      <c r="B14" s="15">
        <f>614427273/1000</f>
        <v>614427.27300000004</v>
      </c>
      <c r="C14" s="16">
        <f>161.630077028628*10^6</f>
        <v>161630077.02862799</v>
      </c>
      <c r="D14" s="3" t="s">
        <v>14</v>
      </c>
      <c r="E14" s="15"/>
      <c r="F14" s="16"/>
      <c r="G14" s="3"/>
      <c r="H14" s="15">
        <v>3497358.3433850608</v>
      </c>
      <c r="I14" s="17">
        <f>920.008475011237*10^6</f>
        <v>920008475.01123703</v>
      </c>
      <c r="K14" s="105"/>
      <c r="N14" t="s">
        <v>39</v>
      </c>
    </row>
    <row r="15" spans="1:15" ht="12.75">
      <c r="A15" s="8">
        <f t="shared" si="0"/>
        <v>12</v>
      </c>
      <c r="B15" s="15">
        <f>654293042/1000</f>
        <v>654293.04200000002</v>
      </c>
      <c r="C15" s="16">
        <f>172.117090866433*10^6</f>
        <v>172117090.86643299</v>
      </c>
      <c r="D15" s="3" t="s">
        <v>14</v>
      </c>
      <c r="E15" s="15"/>
      <c r="F15" s="16"/>
      <c r="G15" s="3"/>
      <c r="H15" s="15">
        <v>2832712.6934222598</v>
      </c>
      <c r="I15" s="17">
        <f>745.168046662885*10^6</f>
        <v>745168046.66288495</v>
      </c>
      <c r="K15" s="105"/>
    </row>
    <row r="16" spans="1:15" ht="12.75">
      <c r="A16" s="8">
        <f t="shared" si="0"/>
        <v>13</v>
      </c>
      <c r="B16" s="15">
        <f>511319756/1000</f>
        <v>511319.75599999999</v>
      </c>
      <c r="C16" s="16">
        <f>134.506808503176*10^6</f>
        <v>134506808.503176</v>
      </c>
      <c r="D16" s="3" t="s">
        <v>14</v>
      </c>
      <c r="E16" s="15"/>
      <c r="F16" s="16"/>
      <c r="G16" s="3"/>
      <c r="H16" s="15">
        <v>2319408.2151104496</v>
      </c>
      <c r="I16" s="17">
        <f>610.139140859939*10^6</f>
        <v>610139140.85993898</v>
      </c>
    </row>
    <row r="17" spans="1:13" ht="12.75">
      <c r="A17" s="8">
        <f t="shared" si="0"/>
        <v>14</v>
      </c>
      <c r="B17" s="15">
        <f>316848234/1000</f>
        <v>316848.234</v>
      </c>
      <c r="C17" s="16">
        <f>83.349497521092*10^6</f>
        <v>83349497.521091998</v>
      </c>
      <c r="D17" s="3" t="s">
        <v>14</v>
      </c>
      <c r="E17" s="15"/>
      <c r="F17" s="16"/>
      <c r="G17" s="3"/>
      <c r="H17" s="15">
        <v>1993468.3744827141</v>
      </c>
      <c r="I17" s="17">
        <f>524.398022484551*10^6</f>
        <v>524398022.48455101</v>
      </c>
    </row>
    <row r="18" spans="1:13" ht="12.75">
      <c r="A18" s="18">
        <f t="shared" si="0"/>
        <v>15</v>
      </c>
      <c r="B18" s="15">
        <f>237529613/1000</f>
        <v>237529.61300000001</v>
      </c>
      <c r="C18" s="16">
        <f>62.4840910109963*10^6</f>
        <v>62484091.010996304</v>
      </c>
      <c r="D18" s="3" t="s">
        <v>14</v>
      </c>
      <c r="E18" s="15"/>
      <c r="F18" s="16"/>
      <c r="G18" s="3"/>
      <c r="H18" s="15">
        <v>1748960.0165237803</v>
      </c>
      <c r="I18" s="17">
        <f>460.078116016067*10^6</f>
        <v>460078116.01606697</v>
      </c>
    </row>
    <row r="19" spans="1:13" ht="12.75">
      <c r="A19" s="18">
        <f t="shared" si="0"/>
        <v>16</v>
      </c>
      <c r="B19" s="15">
        <f>237589635/1000</f>
        <v>237589.63500000001</v>
      </c>
      <c r="C19" s="16">
        <f>62.4998802848611*10^6</f>
        <v>62499880.284861103</v>
      </c>
      <c r="D19" s="3" t="s">
        <v>14</v>
      </c>
      <c r="E19" s="15"/>
      <c r="F19" s="16"/>
      <c r="G19" s="3"/>
      <c r="H19" s="15">
        <v>1505215.3147000002</v>
      </c>
      <c r="I19" s="17">
        <f>395.959095487013*10^6</f>
        <v>395959095.48701298</v>
      </c>
      <c r="K19" s="105"/>
    </row>
    <row r="20" spans="1:13" ht="12.75">
      <c r="A20" s="8">
        <f t="shared" si="0"/>
        <v>17</v>
      </c>
      <c r="B20" s="15">
        <f>456208046/1000</f>
        <v>456208.04599999997</v>
      </c>
      <c r="C20" s="16">
        <f>120.009226244194*10^6</f>
        <v>120009226.244194</v>
      </c>
      <c r="D20" s="3" t="s">
        <v>14</v>
      </c>
      <c r="E20" s="15">
        <v>3476536.0410000002</v>
      </c>
      <c r="F20" s="16">
        <f>(E20/3.6)*1000</f>
        <v>965704455.83333325</v>
      </c>
      <c r="G20" s="3" t="s">
        <v>14</v>
      </c>
      <c r="H20" s="15">
        <v>2524793.2691658176</v>
      </c>
      <c r="I20" s="17">
        <f>664.16734495546*10^6</f>
        <v>664167344.95545995</v>
      </c>
      <c r="K20" s="105"/>
      <c r="M20" s="106"/>
    </row>
    <row r="21" spans="1:13" ht="12.75">
      <c r="A21" s="8">
        <f t="shared" si="0"/>
        <v>18</v>
      </c>
      <c r="B21" s="15">
        <f>495301951/1000</f>
        <v>495301.951</v>
      </c>
      <c r="C21" s="16">
        <f>130.293194997156*10^6</f>
        <v>130293194.99715601</v>
      </c>
      <c r="D21" s="3" t="s">
        <v>14</v>
      </c>
      <c r="E21" s="15"/>
      <c r="F21" s="16"/>
      <c r="G21" s="3"/>
      <c r="H21" s="15">
        <v>4032713.2728291107</v>
      </c>
      <c r="I21" s="17">
        <f>1060.83793080868*10^6</f>
        <v>1060837930.8086801</v>
      </c>
      <c r="K21" s="105"/>
    </row>
    <row r="22" spans="1:13" ht="12.75">
      <c r="A22" s="8">
        <f t="shared" si="0"/>
        <v>19</v>
      </c>
      <c r="B22" s="15">
        <f>514827871/1000</f>
        <v>514827.87099999998</v>
      </c>
      <c r="C22" s="16">
        <f>135.429646603943*10^6</f>
        <v>135429646.60394302</v>
      </c>
      <c r="D22" s="3" t="s">
        <v>14</v>
      </c>
      <c r="E22" s="15"/>
      <c r="F22" s="16"/>
      <c r="G22" s="3"/>
      <c r="H22" s="15">
        <v>3505565.2514297958</v>
      </c>
      <c r="I22" s="17">
        <f>922.16736872857*10^6</f>
        <v>922167368.72856998</v>
      </c>
    </row>
    <row r="23" spans="1:13" ht="12.75">
      <c r="A23" s="8">
        <f t="shared" si="0"/>
        <v>20</v>
      </c>
      <c r="B23" s="15">
        <f>376172483/1000</f>
        <v>376172.48300000001</v>
      </c>
      <c r="C23" s="16">
        <f>98.9552223267608*10^6</f>
        <v>98955222.326760799</v>
      </c>
      <c r="D23" s="3" t="s">
        <v>14</v>
      </c>
      <c r="E23" s="15"/>
      <c r="F23" s="16"/>
      <c r="G23" s="3"/>
      <c r="H23" s="15">
        <v>3124697.3832298801</v>
      </c>
      <c r="I23" s="17">
        <f>821.976987246461*10^6</f>
        <v>821976987.24646103</v>
      </c>
    </row>
    <row r="24" spans="1:13" ht="12.75">
      <c r="A24" s="8">
        <f t="shared" si="0"/>
        <v>21</v>
      </c>
      <c r="B24" s="15">
        <f>733172690/1000</f>
        <v>733172.69</v>
      </c>
      <c r="C24" s="16">
        <v>192867021.51862735</v>
      </c>
      <c r="D24" s="3" t="s">
        <v>14</v>
      </c>
      <c r="E24" s="15"/>
      <c r="F24" s="16"/>
      <c r="G24" s="3"/>
      <c r="H24" s="15">
        <v>2375258.2353000003</v>
      </c>
      <c r="I24" s="17">
        <f>624.830941601811*10^6</f>
        <v>624830941.60181093</v>
      </c>
    </row>
    <row r="25" spans="1:13" ht="12.75">
      <c r="A25" s="18">
        <f t="shared" si="0"/>
        <v>22</v>
      </c>
      <c r="B25" s="15">
        <f>554873667/1000</f>
        <v>554873.66700000002</v>
      </c>
      <c r="C25" s="16">
        <v>145964018.39036876</v>
      </c>
      <c r="D25" s="3" t="s">
        <v>14</v>
      </c>
      <c r="E25" s="15"/>
      <c r="F25" s="16"/>
      <c r="G25" s="3"/>
      <c r="H25" s="15">
        <v>1814729.3621972669</v>
      </c>
      <c r="I25" s="17">
        <f>477.37927576997*10^6</f>
        <v>477379275.76997</v>
      </c>
    </row>
    <row r="26" spans="1:13" ht="12.75">
      <c r="A26" s="18">
        <f t="shared" si="0"/>
        <v>23</v>
      </c>
      <c r="B26" s="15">
        <f>257499579/1000</f>
        <v>257499.579</v>
      </c>
      <c r="C26" s="16">
        <v>67737352.355673537</v>
      </c>
      <c r="D26" s="3" t="s">
        <v>14</v>
      </c>
      <c r="E26" s="15"/>
      <c r="F26" s="16"/>
      <c r="G26" s="3"/>
      <c r="H26" s="15">
        <v>1555610.2119033691</v>
      </c>
      <c r="I26" s="17">
        <f>409.215881887558*10^6</f>
        <v>409215881.88755798</v>
      </c>
    </row>
    <row r="27" spans="1:13" ht="12.75">
      <c r="A27" s="8">
        <f t="shared" si="0"/>
        <v>24</v>
      </c>
      <c r="B27" s="15">
        <f>515329771/1000</f>
        <v>515329.77100000001</v>
      </c>
      <c r="C27" s="16">
        <f>135.561675469239*10^6</f>
        <v>135561675.469239</v>
      </c>
      <c r="D27" s="3" t="s">
        <v>14</v>
      </c>
      <c r="E27" s="15"/>
      <c r="F27" s="16"/>
      <c r="G27" s="3"/>
      <c r="H27" s="15">
        <v>1027584.8123644521</v>
      </c>
      <c r="I27" s="17">
        <f>270.314518372486*10^6</f>
        <v>270314518.372486</v>
      </c>
    </row>
    <row r="28" spans="1:13" ht="12.75">
      <c r="A28" s="8">
        <f t="shared" si="0"/>
        <v>25</v>
      </c>
      <c r="B28" s="15">
        <f>662261043/1000</f>
        <v>662261.04299999995</v>
      </c>
      <c r="C28" s="16">
        <f>174.213138148166*10^6</f>
        <v>174213138.148166</v>
      </c>
      <c r="D28" s="3" t="s">
        <v>14</v>
      </c>
      <c r="E28" s="15">
        <v>3401257.6860000002</v>
      </c>
      <c r="F28" s="16">
        <f>(E28/3.6)*1000</f>
        <v>944793801.66666675</v>
      </c>
      <c r="G28" s="3" t="s">
        <v>14</v>
      </c>
      <c r="H28" s="15">
        <v>2002762.5583108391</v>
      </c>
      <c r="I28" s="17">
        <f>526.842932914265*10^6</f>
        <v>526842932.91426504</v>
      </c>
    </row>
    <row r="29" spans="1:13" ht="12.75">
      <c r="A29" s="8">
        <f t="shared" si="0"/>
        <v>26</v>
      </c>
      <c r="B29" s="15">
        <f>739354753/1000</f>
        <v>739354.75300000003</v>
      </c>
      <c r="C29" s="16">
        <f>194.493263776187*10^6</f>
        <v>194493263.776187</v>
      </c>
      <c r="D29" s="3" t="s">
        <v>14</v>
      </c>
      <c r="E29" s="15"/>
      <c r="F29" s="16"/>
      <c r="G29" s="3"/>
      <c r="H29" s="15">
        <v>3014651.6117558656</v>
      </c>
      <c r="I29" s="17">
        <f>793.028554613947*10^6</f>
        <v>793028554.61394703</v>
      </c>
      <c r="K29" s="107"/>
    </row>
    <row r="30" spans="1:13" ht="12.75">
      <c r="A30" s="8">
        <f t="shared" si="0"/>
        <v>27</v>
      </c>
      <c r="B30" s="15">
        <f>621193461/1000</f>
        <v>621193.46100000001</v>
      </c>
      <c r="C30" s="16">
        <f>172381.185*10^3</f>
        <v>172381185</v>
      </c>
      <c r="D30" s="3" t="s">
        <v>14</v>
      </c>
      <c r="E30" s="15"/>
      <c r="F30" s="16"/>
      <c r="G30" s="3"/>
      <c r="H30" s="15">
        <v>2396267.6420271485</v>
      </c>
      <c r="I30" s="17">
        <v>630357636.42291605</v>
      </c>
      <c r="K30" s="25"/>
    </row>
    <row r="31" spans="1:13" ht="12.75">
      <c r="A31" s="8">
        <f t="shared" si="0"/>
        <v>28</v>
      </c>
      <c r="B31" s="15">
        <f>276623104/1000</f>
        <v>276623.10399999999</v>
      </c>
      <c r="C31" s="16">
        <f>76762.911*10^3</f>
        <v>76762911</v>
      </c>
      <c r="D31" s="3" t="s">
        <v>14</v>
      </c>
      <c r="E31" s="15"/>
      <c r="F31" s="16"/>
      <c r="G31" s="3"/>
      <c r="H31" s="15">
        <v>2112360.6279916991</v>
      </c>
      <c r="I31" s="17">
        <v>555673593.95932901</v>
      </c>
      <c r="K31" s="25"/>
    </row>
    <row r="32" spans="1:13" ht="12.75">
      <c r="A32" s="18">
        <f t="shared" si="0"/>
        <v>29</v>
      </c>
      <c r="B32" s="15">
        <f>778340430/1000</f>
        <v>778340.43</v>
      </c>
      <c r="C32" s="16">
        <f>215989.469*10^3</f>
        <v>215989469</v>
      </c>
      <c r="D32" s="3" t="s">
        <v>14</v>
      </c>
      <c r="E32" s="15">
        <v>3400521.2549999999</v>
      </c>
      <c r="F32" s="16">
        <f>(E32/3.6)*1000</f>
        <v>944589237.49999988</v>
      </c>
      <c r="G32" s="3" t="s">
        <v>14</v>
      </c>
      <c r="H32" s="15">
        <v>3211587.9413083987</v>
      </c>
      <c r="I32" s="17">
        <v>844834253.21175504</v>
      </c>
      <c r="K32" s="25"/>
    </row>
    <row r="33" spans="1:11" ht="12.75">
      <c r="A33" s="18">
        <f t="shared" si="0"/>
        <v>30</v>
      </c>
      <c r="B33" s="15">
        <f>395397133/1000</f>
        <v>395397.13299999997</v>
      </c>
      <c r="C33" s="16">
        <f>109722.704*10^3</f>
        <v>109722704</v>
      </c>
      <c r="D33" s="3" t="s">
        <v>14</v>
      </c>
      <c r="E33" s="15"/>
      <c r="F33" s="16"/>
      <c r="G33" s="3"/>
      <c r="H33" s="15">
        <v>4337611.1291781254</v>
      </c>
      <c r="I33" s="17">
        <v>1141043784.5738299</v>
      </c>
      <c r="K33" s="25"/>
    </row>
    <row r="34" spans="1:11" ht="12.75">
      <c r="A34" s="8">
        <f t="shared" si="0"/>
        <v>31</v>
      </c>
      <c r="B34" s="15">
        <f>740462865/1000</f>
        <v>740462.86499999999</v>
      </c>
      <c r="C34" s="16">
        <f>194.784761624325*10^6</f>
        <v>194784761.62432501</v>
      </c>
      <c r="D34" s="3" t="s">
        <v>14</v>
      </c>
      <c r="E34" s="15"/>
      <c r="F34" s="16"/>
      <c r="G34" s="3"/>
      <c r="H34" s="15">
        <v>3581089.9568956974</v>
      </c>
      <c r="I34" s="17">
        <f>942.034754989626*10^6</f>
        <v>942034754.98962593</v>
      </c>
      <c r="K34" s="25"/>
    </row>
    <row r="35" spans="1:11" ht="12.75">
      <c r="A35" s="25"/>
      <c r="B35" s="25"/>
      <c r="C35" s="25"/>
      <c r="D35" s="26"/>
      <c r="E35" s="25"/>
      <c r="F35" s="25"/>
      <c r="G35" s="26"/>
      <c r="H35" s="25"/>
      <c r="I35" s="25"/>
    </row>
    <row r="36" spans="1:11" ht="26.45" customHeight="1">
      <c r="A36" s="108"/>
      <c r="B36" s="163" t="s">
        <v>17</v>
      </c>
      <c r="C36" s="163"/>
      <c r="D36" s="163"/>
      <c r="E36" s="164"/>
      <c r="F36" s="164"/>
      <c r="G36" s="164"/>
      <c r="H36" s="164"/>
      <c r="I36" s="129"/>
      <c r="J36" s="129"/>
    </row>
    <row r="37" spans="1:11" ht="26.45" customHeight="1">
      <c r="A37" s="7" t="s">
        <v>4</v>
      </c>
      <c r="B37" s="165" t="s">
        <v>13</v>
      </c>
      <c r="C37" s="165"/>
      <c r="D37" s="165"/>
      <c r="E37" s="165"/>
      <c r="F37" s="165"/>
      <c r="G37" s="165"/>
      <c r="H37" s="165"/>
      <c r="I37" s="130"/>
      <c r="J37" s="129"/>
    </row>
    <row r="38" spans="1:11" ht="26.45" customHeight="1">
      <c r="A38" s="7" t="s">
        <v>5</v>
      </c>
      <c r="B38" s="165" t="s">
        <v>18</v>
      </c>
      <c r="C38" s="165"/>
      <c r="D38" s="165"/>
      <c r="E38" s="166"/>
      <c r="F38" s="166"/>
      <c r="G38" s="166"/>
      <c r="H38" s="166"/>
      <c r="I38" s="131"/>
      <c r="J38" s="131"/>
    </row>
    <row r="39" spans="1:11" ht="26.45" customHeight="1">
      <c r="A39" s="7" t="s">
        <v>6</v>
      </c>
      <c r="B39" s="165" t="s">
        <v>0</v>
      </c>
      <c r="C39" s="165"/>
      <c r="D39" s="165"/>
      <c r="E39" s="165"/>
      <c r="F39" s="165"/>
      <c r="G39" s="165"/>
      <c r="H39" s="165"/>
      <c r="I39" s="130"/>
      <c r="J39" s="131"/>
    </row>
    <row r="40" spans="1:11" ht="26.45" customHeight="1">
      <c r="A40" s="7" t="s">
        <v>7</v>
      </c>
      <c r="B40" s="165" t="s">
        <v>41</v>
      </c>
      <c r="C40" s="165"/>
      <c r="D40" s="165"/>
      <c r="E40" s="166"/>
      <c r="F40" s="166"/>
      <c r="G40" s="166"/>
      <c r="H40" s="166"/>
      <c r="I40" s="131"/>
      <c r="J40" s="4"/>
    </row>
    <row r="41" spans="1:11" ht="26.45" customHeight="1">
      <c r="A41" s="28" t="s">
        <v>19</v>
      </c>
      <c r="B41" s="149" t="s">
        <v>37</v>
      </c>
      <c r="C41" s="167"/>
      <c r="D41" s="167"/>
      <c r="E41" s="167"/>
      <c r="F41" s="167"/>
      <c r="G41" s="167"/>
      <c r="H41" s="167"/>
      <c r="I41" s="132"/>
      <c r="J41" s="6"/>
    </row>
    <row r="42" spans="1:11" ht="26.45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11" ht="26.45" customHeight="1">
      <c r="A43" s="1"/>
      <c r="B43" s="1"/>
      <c r="C43" s="1"/>
      <c r="D43" s="1"/>
      <c r="E43" s="1"/>
      <c r="F43" s="1"/>
      <c r="G43" s="1"/>
      <c r="H43" s="1"/>
      <c r="I43" s="1"/>
    </row>
    <row r="44" spans="1:11" ht="26.45" customHeight="1"/>
    <row r="45" spans="1:11" ht="12.75"/>
  </sheetData>
  <mergeCells count="13">
    <mergeCell ref="B41:H41"/>
    <mergeCell ref="A1:I1"/>
    <mergeCell ref="A2:A3"/>
    <mergeCell ref="B2:C2"/>
    <mergeCell ref="D2:D3"/>
    <mergeCell ref="E2:F2"/>
    <mergeCell ref="G2:G3"/>
    <mergeCell ref="H2:I2"/>
    <mergeCell ref="B36:H36"/>
    <mergeCell ref="B37:H37"/>
    <mergeCell ref="B38:H38"/>
    <mergeCell ref="B39:H39"/>
    <mergeCell ref="B40:H40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0" workbookViewId="0">
      <selection activeCell="E33" sqref="E33"/>
    </sheetView>
  </sheetViews>
  <sheetFormatPr defaultRowHeight="15.95" customHeight="1"/>
  <cols>
    <col min="1" max="1" width="11.28515625" customWidth="1"/>
    <col min="2" max="2" width="17.28515625" customWidth="1"/>
    <col min="3" max="3" width="15.28515625" customWidth="1"/>
    <col min="4" max="4" width="19.5703125" customWidth="1"/>
    <col min="5" max="5" width="17" customWidth="1"/>
    <col min="6" max="6" width="14.7109375" customWidth="1"/>
    <col min="7" max="7" width="21.7109375" customWidth="1"/>
    <col min="8" max="8" width="17.140625" customWidth="1"/>
    <col min="9" max="9" width="16.140625" customWidth="1"/>
    <col min="11" max="11" width="17.7109375" bestFit="1" customWidth="1"/>
    <col min="12" max="12" width="13.42578125" bestFit="1" customWidth="1"/>
  </cols>
  <sheetData>
    <row r="1" spans="1:13" ht="58.9" customHeight="1" thickBot="1">
      <c r="A1" s="151" t="s">
        <v>48</v>
      </c>
      <c r="B1" s="151"/>
      <c r="C1" s="151"/>
      <c r="D1" s="151"/>
      <c r="E1" s="151"/>
      <c r="F1" s="151"/>
      <c r="G1" s="151"/>
      <c r="H1" s="151"/>
      <c r="I1" s="151"/>
    </row>
    <row r="2" spans="1:13" ht="12.75">
      <c r="A2" s="179" t="s">
        <v>11</v>
      </c>
      <c r="B2" s="169" t="s">
        <v>2</v>
      </c>
      <c r="C2" s="170"/>
      <c r="D2" s="171" t="s">
        <v>12</v>
      </c>
      <c r="E2" s="173" t="s">
        <v>8</v>
      </c>
      <c r="F2" s="174"/>
      <c r="G2" s="175" t="s">
        <v>9</v>
      </c>
      <c r="H2" s="177" t="s">
        <v>10</v>
      </c>
      <c r="I2" s="178"/>
    </row>
    <row r="3" spans="1:13" ht="12.75">
      <c r="A3" s="180"/>
      <c r="B3" s="5" t="s">
        <v>1</v>
      </c>
      <c r="C3" s="10" t="s">
        <v>29</v>
      </c>
      <c r="D3" s="172"/>
      <c r="E3" s="2" t="s">
        <v>1</v>
      </c>
      <c r="F3" s="11" t="s">
        <v>29</v>
      </c>
      <c r="G3" s="176"/>
      <c r="H3" s="12" t="s">
        <v>1</v>
      </c>
      <c r="I3" s="13" t="s">
        <v>29</v>
      </c>
    </row>
    <row r="4" spans="1:13" ht="12.75">
      <c r="A4" s="8">
        <v>1</v>
      </c>
      <c r="B4" s="134">
        <f>554205828/1000</f>
        <v>554205.82799999998</v>
      </c>
      <c r="C4" s="16">
        <f>145.788337539103*10^6</f>
        <v>145788337.539103</v>
      </c>
      <c r="D4" s="3" t="s">
        <v>14</v>
      </c>
      <c r="E4" s="15"/>
      <c r="F4" s="16"/>
      <c r="G4" s="3"/>
      <c r="H4" s="15">
        <v>3016116.7631833055</v>
      </c>
      <c r="I4" s="17">
        <f>793.413974578981*10^6</f>
        <v>793413974.57898092</v>
      </c>
      <c r="L4" s="135"/>
      <c r="M4" s="135"/>
    </row>
    <row r="5" spans="1:13" ht="12.75">
      <c r="A5" s="8">
        <f>A4+1</f>
        <v>2</v>
      </c>
      <c r="B5" s="134">
        <f>850982127/1000</f>
        <v>850982.12699999998</v>
      </c>
      <c r="C5" s="16">
        <f>223.8577497796*10^6</f>
        <v>223857749.77959999</v>
      </c>
      <c r="D5" s="3" t="s">
        <v>14</v>
      </c>
      <c r="E5" s="15">
        <v>3390898.84</v>
      </c>
      <c r="F5" s="16">
        <f>(E5/3.6)*1000</f>
        <v>941916344.44444442</v>
      </c>
      <c r="G5" s="3" t="s">
        <v>14</v>
      </c>
      <c r="H5" s="15">
        <v>4318190.8362529324</v>
      </c>
      <c r="I5" s="17">
        <f>1135.93511902568*10^6</f>
        <v>1135935119.0256801</v>
      </c>
      <c r="L5" s="135"/>
      <c r="M5" s="135"/>
    </row>
    <row r="6" spans="1:13" ht="12.75">
      <c r="A6" s="8">
        <f>A5+1</f>
        <v>3</v>
      </c>
      <c r="B6" s="134">
        <f>851113393/1000</f>
        <v>851113.39300000004</v>
      </c>
      <c r="C6" s="16">
        <f>223.892280365438*10^6</f>
        <v>223892280.36543801</v>
      </c>
      <c r="D6" s="3" t="s">
        <v>14</v>
      </c>
      <c r="E6" s="15"/>
      <c r="F6" s="16"/>
      <c r="G6" s="3"/>
      <c r="H6" s="15">
        <v>4688888.4000744233</v>
      </c>
      <c r="I6" s="17">
        <f>1233.45011946218*10^6</f>
        <v>1233450119.4621801</v>
      </c>
      <c r="L6" s="135"/>
      <c r="M6" s="135"/>
    </row>
    <row r="7" spans="1:13" ht="12.75">
      <c r="A7" s="8">
        <f t="shared" ref="A7:A33" si="0">A6+1</f>
        <v>4</v>
      </c>
      <c r="B7" s="134">
        <v>851149.99800000002</v>
      </c>
      <c r="C7" s="16">
        <f>223.901909607546*10^6</f>
        <v>223901909.607546</v>
      </c>
      <c r="D7" s="3" t="s">
        <v>14</v>
      </c>
      <c r="E7" s="15"/>
      <c r="F7" s="16"/>
      <c r="G7" s="3"/>
      <c r="H7" s="15">
        <v>3827313.9660949223</v>
      </c>
      <c r="I7" s="17">
        <v>1006805977.43041</v>
      </c>
      <c r="L7" s="135"/>
      <c r="M7" s="135"/>
    </row>
    <row r="8" spans="1:13" ht="12.75">
      <c r="A8" s="18">
        <f t="shared" si="0"/>
        <v>5</v>
      </c>
      <c r="B8" s="134">
        <v>712341.20400000003</v>
      </c>
      <c r="C8" s="16">
        <f>187.387130637975*10^6</f>
        <v>187387130.63797498</v>
      </c>
      <c r="D8" s="3" t="s">
        <v>14</v>
      </c>
      <c r="E8" s="15"/>
      <c r="F8" s="16"/>
      <c r="G8" s="3"/>
      <c r="H8" s="15">
        <v>3103596.3521389654</v>
      </c>
      <c r="I8" s="17">
        <v>816426189.8934139</v>
      </c>
      <c r="L8" s="135"/>
      <c r="M8" s="135"/>
    </row>
    <row r="9" spans="1:13" ht="12.75">
      <c r="A9" s="18">
        <f t="shared" si="0"/>
        <v>6</v>
      </c>
      <c r="B9" s="134">
        <v>355891.68900000001</v>
      </c>
      <c r="C9" s="16">
        <f>93.6201949924164*10^6</f>
        <v>93620194.992416397</v>
      </c>
      <c r="D9" s="3" t="s">
        <v>14</v>
      </c>
      <c r="E9" s="15">
        <f>3464078637/1000</f>
        <v>3464078.6370000001</v>
      </c>
      <c r="F9" s="16">
        <f>(E9/3.6)*1000</f>
        <v>962244065.83333325</v>
      </c>
      <c r="G9" s="3" t="s">
        <v>14</v>
      </c>
      <c r="H9" s="15">
        <v>2747259.2604952147</v>
      </c>
      <c r="I9" s="17">
        <v>722688828.12344503</v>
      </c>
      <c r="L9" s="135"/>
      <c r="M9" s="135"/>
    </row>
    <row r="10" spans="1:13" ht="12.75">
      <c r="A10" s="8">
        <f t="shared" si="0"/>
        <v>7</v>
      </c>
      <c r="B10" s="134">
        <f>593543830/1000</f>
        <v>593543.82999999996</v>
      </c>
      <c r="C10" s="16">
        <f>156.136517987487*10^6</f>
        <v>156136517.98748699</v>
      </c>
      <c r="D10" s="3" t="s">
        <v>14</v>
      </c>
      <c r="E10" s="15"/>
      <c r="F10" s="16"/>
      <c r="G10" s="3"/>
      <c r="H10" s="15">
        <v>5604001.8841794925</v>
      </c>
      <c r="I10" s="17">
        <f>1474.17814281904*10^6</f>
        <v>1474178142.8190401</v>
      </c>
      <c r="L10" s="135"/>
      <c r="M10" s="135"/>
    </row>
    <row r="11" spans="1:13" ht="12.75">
      <c r="A11" s="8">
        <f t="shared" si="0"/>
        <v>8</v>
      </c>
      <c r="B11" s="134">
        <f>553510003/1000</f>
        <v>553510.00300000003</v>
      </c>
      <c r="C11" s="16">
        <f>145.60529512987*10^6</f>
        <v>145605295.12987</v>
      </c>
      <c r="D11" s="3" t="s">
        <v>14</v>
      </c>
      <c r="E11" s="15"/>
      <c r="F11" s="16"/>
      <c r="G11" s="3"/>
      <c r="H11" s="15">
        <v>5059244.3786861328</v>
      </c>
      <c r="I11" s="17">
        <f>1330.87526313907*10^6</f>
        <v>1330875263.13907</v>
      </c>
      <c r="L11" s="135"/>
      <c r="M11" s="135"/>
    </row>
    <row r="12" spans="1:13" ht="12.75">
      <c r="A12" s="8">
        <f t="shared" si="0"/>
        <v>9</v>
      </c>
      <c r="B12" s="134">
        <f>356428016/1000</f>
        <v>356428.016</v>
      </c>
      <c r="C12" s="16">
        <f>93.7612801592568*10^6</f>
        <v>93761280.159256801</v>
      </c>
      <c r="D12" s="3" t="s">
        <v>14</v>
      </c>
      <c r="E12" s="15"/>
      <c r="F12" s="16"/>
      <c r="G12" s="3"/>
      <c r="H12" s="15">
        <v>4695686.5685548801</v>
      </c>
      <c r="I12" s="17">
        <f>1235.23843281257*10^6</f>
        <v>1235238432.8125699</v>
      </c>
      <c r="L12" s="135"/>
      <c r="M12" s="135"/>
    </row>
    <row r="13" spans="1:13" ht="12.75">
      <c r="A13" s="8">
        <f t="shared" si="0"/>
        <v>10</v>
      </c>
      <c r="B13" s="134">
        <f>653219732/1000</f>
        <v>653219.73199999996</v>
      </c>
      <c r="C13" s="16">
        <f>171.834747966632*10^6</f>
        <v>171834747.96663201</v>
      </c>
      <c r="D13" s="3" t="s">
        <v>14</v>
      </c>
      <c r="E13" s="15"/>
      <c r="F13" s="16"/>
      <c r="G13" s="3"/>
      <c r="H13" s="15">
        <v>4025573.9982205047</v>
      </c>
      <c r="I13" s="17">
        <f>1058.95988672499*10^6</f>
        <v>1058959886.7249899</v>
      </c>
      <c r="L13" s="135"/>
      <c r="M13" s="135"/>
    </row>
    <row r="14" spans="1:13" ht="12.75">
      <c r="A14" s="8">
        <f t="shared" si="0"/>
        <v>11</v>
      </c>
      <c r="B14" s="134">
        <v>573606.071</v>
      </c>
      <c r="C14" s="16">
        <v>150891728.79182899</v>
      </c>
      <c r="D14" s="3" t="s">
        <v>14</v>
      </c>
      <c r="E14" s="15"/>
      <c r="F14" s="16"/>
      <c r="G14" s="3"/>
      <c r="H14" s="15">
        <v>3441575.7539364309</v>
      </c>
      <c r="I14" s="17">
        <f>905.334412472613*10^6</f>
        <v>905334412.4726131</v>
      </c>
      <c r="K14" s="136"/>
      <c r="L14" s="135"/>
      <c r="M14" s="135"/>
    </row>
    <row r="15" spans="1:13" ht="12.75">
      <c r="A15" s="18">
        <f t="shared" si="0"/>
        <v>12</v>
      </c>
      <c r="B15" s="134">
        <v>276953.06900000002</v>
      </c>
      <c r="C15" s="16">
        <v>72854750.827092603</v>
      </c>
      <c r="D15" s="3" t="s">
        <v>14</v>
      </c>
      <c r="E15" s="15"/>
      <c r="F15" s="16"/>
      <c r="G15" s="3"/>
      <c r="H15" s="15">
        <v>3164059.6889869231</v>
      </c>
      <c r="I15" s="17">
        <f>832.331560995233*10^6</f>
        <v>832331560.99523294</v>
      </c>
      <c r="L15" s="135"/>
      <c r="M15" s="135"/>
    </row>
    <row r="16" spans="1:13" ht="12.75">
      <c r="A16" s="18">
        <f t="shared" si="0"/>
        <v>13</v>
      </c>
      <c r="B16" s="134">
        <v>316746.73</v>
      </c>
      <c r="C16" s="16">
        <v>83322796.070717603</v>
      </c>
      <c r="D16" s="3" t="s">
        <v>14</v>
      </c>
      <c r="E16" s="15"/>
      <c r="F16" s="16"/>
      <c r="G16" s="3"/>
      <c r="H16" s="15">
        <v>2837289.8394168033</v>
      </c>
      <c r="I16" s="17">
        <f>746.372102036367*10^6</f>
        <v>746372102.03636694</v>
      </c>
      <c r="L16" s="135"/>
      <c r="M16" s="135"/>
    </row>
    <row r="17" spans="1:13" ht="12.75">
      <c r="A17" s="8">
        <f t="shared" si="0"/>
        <v>14</v>
      </c>
      <c r="B17" s="134">
        <v>614323.17599999998</v>
      </c>
      <c r="C17" s="16">
        <v>161602693.468575</v>
      </c>
      <c r="D17" s="3" t="s">
        <v>14</v>
      </c>
      <c r="E17" s="15"/>
      <c r="F17" s="16"/>
      <c r="G17" s="3"/>
      <c r="H17" s="15">
        <v>2215041.1180931637</v>
      </c>
      <c r="I17" s="17">
        <f>582.684529596031*10^6</f>
        <v>582684529.59603095</v>
      </c>
      <c r="L17" s="135"/>
      <c r="M17" s="135"/>
    </row>
    <row r="18" spans="1:13" ht="12.75">
      <c r="A18" s="8">
        <f t="shared" si="0"/>
        <v>15</v>
      </c>
      <c r="B18" s="134">
        <v>634264.29299999995</v>
      </c>
      <c r="C18" s="16">
        <v>166848366.01336598</v>
      </c>
      <c r="D18" s="3" t="s">
        <v>14</v>
      </c>
      <c r="E18" s="15"/>
      <c r="F18" s="16"/>
      <c r="G18" s="3"/>
      <c r="H18" s="15">
        <v>1572978.119080127</v>
      </c>
      <c r="I18" s="17">
        <v>413784650.72019601</v>
      </c>
      <c r="L18" s="135"/>
      <c r="M18" s="135"/>
    </row>
    <row r="19" spans="1:13" ht="12.75">
      <c r="A19" s="8">
        <f t="shared" si="0"/>
        <v>16</v>
      </c>
      <c r="B19" s="134">
        <f>356659638/1000</f>
        <v>356659.63799999998</v>
      </c>
      <c r="C19" s="16">
        <f>93.8222102047587*10^6</f>
        <v>93822210.204758704</v>
      </c>
      <c r="D19" s="3" t="s">
        <v>14</v>
      </c>
      <c r="E19" s="15"/>
      <c r="F19" s="16"/>
      <c r="G19" s="3"/>
      <c r="H19" s="15">
        <v>1209919.0928219736</v>
      </c>
      <c r="I19" s="17">
        <f>318.279029536542*10^6</f>
        <v>318279029.536542</v>
      </c>
      <c r="L19" s="135"/>
      <c r="M19" s="135"/>
    </row>
    <row r="20" spans="1:13" ht="12.75">
      <c r="A20" s="8">
        <f t="shared" si="0"/>
        <v>17</v>
      </c>
      <c r="B20" s="134">
        <f>237458566/1000</f>
        <v>237458.56599999999</v>
      </c>
      <c r="C20" s="16">
        <f>62.4654015214712*10^6</f>
        <v>62465401.521471202</v>
      </c>
      <c r="D20" s="3" t="s">
        <v>14</v>
      </c>
      <c r="E20" s="15"/>
      <c r="F20" s="16"/>
      <c r="G20" s="3"/>
      <c r="H20" s="15">
        <v>966129.65675000008</v>
      </c>
      <c r="I20" s="17">
        <f>254.148241300716*10^6</f>
        <v>254148241.30071598</v>
      </c>
      <c r="L20" s="135"/>
      <c r="M20" s="135"/>
    </row>
    <row r="21" spans="1:13" ht="12.75">
      <c r="A21" s="8">
        <f t="shared" si="0"/>
        <v>18</v>
      </c>
      <c r="B21" s="134">
        <f>237667493/1000</f>
        <v>237667.49299999999</v>
      </c>
      <c r="C21" s="16">
        <f>62.5203614631719*10^6</f>
        <v>62520361.463171899</v>
      </c>
      <c r="D21" s="3" t="s">
        <v>14</v>
      </c>
      <c r="E21" s="15">
        <v>3475262.5189999999</v>
      </c>
      <c r="F21" s="16">
        <f>(E21/3.6)*1000</f>
        <v>965350699.72222221</v>
      </c>
      <c r="G21" s="3" t="s">
        <v>14</v>
      </c>
      <c r="H21" s="15">
        <v>2508836.1376503007</v>
      </c>
      <c r="I21" s="17">
        <f>659.969692101582*10^6</f>
        <v>659969692.10158205</v>
      </c>
      <c r="L21" s="135"/>
      <c r="M21" s="135"/>
    </row>
    <row r="22" spans="1:13" ht="12.75">
      <c r="A22" s="18">
        <f t="shared" si="0"/>
        <v>19</v>
      </c>
      <c r="B22" s="134">
        <f>395716420/1000</f>
        <v>395716.42</v>
      </c>
      <c r="C22" s="16">
        <f>104.096413451512*10^6</f>
        <v>104096413.45151201</v>
      </c>
      <c r="D22" s="3" t="s">
        <v>14</v>
      </c>
      <c r="E22" s="15"/>
      <c r="F22" s="16"/>
      <c r="G22" s="3"/>
      <c r="H22" s="15">
        <v>3811092.9803658174</v>
      </c>
      <c r="I22" s="17">
        <f>1002.53891558585*10^6</f>
        <v>1002538915.58585</v>
      </c>
      <c r="L22" s="135"/>
      <c r="M22" s="135"/>
    </row>
    <row r="23" spans="1:13" ht="12.75">
      <c r="A23" s="18">
        <f t="shared" si="0"/>
        <v>20</v>
      </c>
      <c r="B23" s="134">
        <f>277582284/1000</f>
        <v>277582.28399999999</v>
      </c>
      <c r="C23" s="16">
        <f>73.0202709356337*10^6</f>
        <v>73020270.935633704</v>
      </c>
      <c r="D23" s="3" t="s">
        <v>14</v>
      </c>
      <c r="E23" s="15"/>
      <c r="F23" s="16"/>
      <c r="G23" s="3"/>
      <c r="H23" s="15">
        <v>3526046.949729796</v>
      </c>
      <c r="I23" s="17">
        <f>927.555245568318*10^6</f>
        <v>927555245.56831801</v>
      </c>
      <c r="L23" s="135"/>
      <c r="M23" s="135"/>
    </row>
    <row r="24" spans="1:13" ht="12.75">
      <c r="A24" s="8">
        <f t="shared" si="0"/>
        <v>21</v>
      </c>
      <c r="B24" s="134">
        <f>356324825/1000</f>
        <v>356324.82500000001</v>
      </c>
      <c r="C24" s="16">
        <f>93.7341349298512*10^6</f>
        <v>93734134.929851189</v>
      </c>
      <c r="D24" s="3" t="s">
        <v>14</v>
      </c>
      <c r="E24" s="15"/>
      <c r="F24" s="16"/>
      <c r="G24" s="3"/>
      <c r="H24" s="15">
        <v>3161369.7653452042</v>
      </c>
      <c r="I24" s="17">
        <f>831.623954766608*10^6</f>
        <v>831623954.766608</v>
      </c>
      <c r="L24" s="135"/>
      <c r="M24" s="135"/>
    </row>
    <row r="25" spans="1:13" ht="12.75">
      <c r="A25" s="8">
        <f t="shared" si="0"/>
        <v>22</v>
      </c>
      <c r="B25" s="134">
        <f>356893236/1000</f>
        <v>356893.23599999998</v>
      </c>
      <c r="C25" s="16">
        <f>93.8836600530856*10^6</f>
        <v>93883660.05308561</v>
      </c>
      <c r="D25" s="3" t="s">
        <v>14</v>
      </c>
      <c r="E25" s="15"/>
      <c r="F25" s="16"/>
      <c r="G25" s="3"/>
      <c r="H25" s="15">
        <v>2796895.9511170797</v>
      </c>
      <c r="I25" s="17">
        <f>735.746162133842*10^6</f>
        <v>735746162.13384199</v>
      </c>
      <c r="L25" s="135"/>
      <c r="M25" s="135"/>
    </row>
    <row r="26" spans="1:13" ht="12.75">
      <c r="A26" s="8">
        <f t="shared" si="0"/>
        <v>23</v>
      </c>
      <c r="B26" s="134">
        <f>357493443/1000</f>
        <v>357493.44300000003</v>
      </c>
      <c r="C26" s="16">
        <f>94.0415493719784*10^6</f>
        <v>94041549.371978402</v>
      </c>
      <c r="D26" s="3" t="s">
        <v>14</v>
      </c>
      <c r="E26" s="15"/>
      <c r="F26" s="16"/>
      <c r="G26" s="3"/>
      <c r="H26" s="15">
        <v>2432214.2154569356</v>
      </c>
      <c r="I26" s="17">
        <f>639.813674082188*10^6</f>
        <v>639813674.08218801</v>
      </c>
      <c r="L26" s="135"/>
      <c r="M26" s="135"/>
    </row>
    <row r="27" spans="1:13" ht="12.75">
      <c r="A27" s="8">
        <f t="shared" si="0"/>
        <v>24</v>
      </c>
      <c r="B27" s="134">
        <f>317351772/1000</f>
        <v>317351.772</v>
      </c>
      <c r="C27" s="16">
        <f>83.4819572755712*10^6</f>
        <v>83481957.275571197</v>
      </c>
      <c r="D27" s="3" t="s">
        <v>14</v>
      </c>
      <c r="E27" s="15"/>
      <c r="F27" s="16"/>
      <c r="G27" s="3"/>
      <c r="H27" s="15">
        <v>2109102.2739833989</v>
      </c>
      <c r="I27" s="17">
        <f>554.816457512933*10^6</f>
        <v>554816457.51293302</v>
      </c>
      <c r="L27" s="135"/>
      <c r="M27" s="135"/>
    </row>
    <row r="28" spans="1:13" ht="12.75">
      <c r="A28" s="8">
        <f t="shared" si="0"/>
        <v>25</v>
      </c>
      <c r="B28" s="134">
        <f>317315701/1000</f>
        <v>317315.701</v>
      </c>
      <c r="C28" s="16">
        <f>83.4724685064935*10^6</f>
        <v>83472468.506493494</v>
      </c>
      <c r="D28" s="3" t="s">
        <v>14</v>
      </c>
      <c r="E28" s="15"/>
      <c r="F28" s="16"/>
      <c r="G28" s="3"/>
      <c r="H28" s="15">
        <v>1783198.963330762</v>
      </c>
      <c r="I28" s="17">
        <f>469.084948643745*10^6</f>
        <v>469084948.64374501</v>
      </c>
      <c r="L28" s="135"/>
      <c r="M28" s="135"/>
    </row>
    <row r="29" spans="1:13" ht="12.75">
      <c r="A29" s="18">
        <f t="shared" si="0"/>
        <v>26</v>
      </c>
      <c r="B29" s="134">
        <f>397250246/1000</f>
        <v>397250.24599999998</v>
      </c>
      <c r="C29" s="16">
        <f>104.499898819793*10^6</f>
        <v>104499898.819793</v>
      </c>
      <c r="D29" s="3" t="s">
        <v>14</v>
      </c>
      <c r="E29" s="15">
        <v>3318325.622</v>
      </c>
      <c r="F29" s="16">
        <f>(E29/3.6)*1000</f>
        <v>921757117.22222221</v>
      </c>
      <c r="G29" s="3" t="s">
        <v>14</v>
      </c>
      <c r="H29" s="15">
        <v>2939352.6735130772</v>
      </c>
      <c r="I29" s="17">
        <f>773.220558251852*10^6</f>
        <v>773220558.25185204</v>
      </c>
      <c r="L29" s="135"/>
      <c r="M29" s="135"/>
    </row>
    <row r="30" spans="1:13" ht="12.75">
      <c r="A30" s="18">
        <f t="shared" si="0"/>
        <v>27</v>
      </c>
      <c r="B30" s="134">
        <f>297094678/1000</f>
        <v>297094.67800000001</v>
      </c>
      <c r="C30" s="16">
        <v>78153164.418428287</v>
      </c>
      <c r="D30" s="3" t="s">
        <v>14</v>
      </c>
      <c r="E30" s="15"/>
      <c r="F30" s="16"/>
      <c r="G30" s="3"/>
      <c r="H30" s="15">
        <v>4416300.9000000004</v>
      </c>
      <c r="I30" s="17">
        <f>1161.74376694473*10^6</f>
        <v>1161743766.94473</v>
      </c>
      <c r="L30" s="135"/>
      <c r="M30" s="135"/>
    </row>
    <row r="31" spans="1:13" ht="12.75">
      <c r="A31" s="8">
        <f t="shared" si="0"/>
        <v>28</v>
      </c>
      <c r="B31" s="134">
        <f>851882853/1000</f>
        <v>851882.853</v>
      </c>
      <c r="C31" s="16">
        <f>224.094693058584*10^6</f>
        <v>224094693.058584</v>
      </c>
      <c r="D31" s="3" t="s">
        <v>14</v>
      </c>
      <c r="E31" s="15"/>
      <c r="F31" s="16"/>
      <c r="G31" s="3"/>
      <c r="H31" s="15">
        <f>3541571.82983506</f>
        <v>3541571.8298350601</v>
      </c>
      <c r="I31" s="17">
        <f>931.639191183268*10^6</f>
        <v>931639191.18326807</v>
      </c>
      <c r="L31" s="135"/>
      <c r="M31" s="135"/>
    </row>
    <row r="32" spans="1:13" ht="12.75">
      <c r="A32" s="8">
        <f t="shared" si="0"/>
        <v>29</v>
      </c>
      <c r="B32" s="134">
        <f>847327810/1000</f>
        <v>847327.81</v>
      </c>
      <c r="C32" s="16">
        <f>222.896452057067*10^6</f>
        <v>222896452.05706701</v>
      </c>
      <c r="D32" s="3" t="s">
        <v>14</v>
      </c>
      <c r="E32" s="15"/>
      <c r="F32" s="16"/>
      <c r="G32" s="3"/>
      <c r="H32" s="15">
        <v>2682253.031990048</v>
      </c>
      <c r="I32" s="17">
        <f>705.588412529376*10^6</f>
        <v>705588412.52937603</v>
      </c>
      <c r="L32" s="135"/>
      <c r="M32" s="135"/>
    </row>
    <row r="33" spans="1:13" ht="12.75">
      <c r="A33" s="8">
        <f t="shared" si="0"/>
        <v>30</v>
      </c>
      <c r="B33" s="134">
        <f>848198003/1000</f>
        <v>848198.00300000003</v>
      </c>
      <c r="C33" s="16">
        <f>223.125363382785*10^6</f>
        <v>223125363.38278499</v>
      </c>
      <c r="D33" s="3" t="s">
        <v>14</v>
      </c>
      <c r="E33" s="15">
        <v>3322493.2850000001</v>
      </c>
      <c r="F33" s="16">
        <f>(E33/3.6)*1000</f>
        <v>922914801.38888884</v>
      </c>
      <c r="G33" s="3" t="s">
        <v>14</v>
      </c>
      <c r="H33" s="15">
        <v>4152722.5051831976</v>
      </c>
      <c r="I33" s="17">
        <f>1092.40733262711*10^6</f>
        <v>1092407332.62711</v>
      </c>
      <c r="L33" s="135"/>
      <c r="M33" s="135"/>
    </row>
    <row r="34" spans="1:13" ht="12.75">
      <c r="A34" s="108"/>
      <c r="B34" s="25"/>
      <c r="C34" s="25"/>
      <c r="D34" s="26"/>
      <c r="E34" s="25"/>
      <c r="F34" s="25"/>
      <c r="G34" s="26"/>
      <c r="H34" s="25"/>
      <c r="I34" s="25"/>
    </row>
    <row r="35" spans="1:13" ht="24.6" customHeight="1">
      <c r="A35" s="108"/>
      <c r="B35" s="163" t="s">
        <v>17</v>
      </c>
      <c r="C35" s="163"/>
      <c r="D35" s="163"/>
      <c r="E35" s="164"/>
      <c r="F35" s="164"/>
      <c r="G35" s="164"/>
      <c r="H35" s="164"/>
      <c r="I35" s="133"/>
    </row>
    <row r="36" spans="1:13" ht="24.6" customHeight="1">
      <c r="A36" s="7" t="s">
        <v>4</v>
      </c>
      <c r="B36" s="165" t="s">
        <v>13</v>
      </c>
      <c r="C36" s="165"/>
      <c r="D36" s="165"/>
      <c r="E36" s="165"/>
      <c r="F36" s="165"/>
      <c r="G36" s="165"/>
      <c r="H36" s="165"/>
      <c r="I36" s="137"/>
    </row>
    <row r="37" spans="1:13" ht="24.6" customHeight="1">
      <c r="A37" s="7" t="s">
        <v>5</v>
      </c>
      <c r="B37" s="165" t="s">
        <v>18</v>
      </c>
      <c r="C37" s="165"/>
      <c r="D37" s="165"/>
      <c r="E37" s="166"/>
      <c r="F37" s="166"/>
      <c r="G37" s="166"/>
      <c r="H37" s="166"/>
      <c r="I37" s="133"/>
      <c r="J37" s="138"/>
    </row>
    <row r="38" spans="1:13" ht="24.6" customHeight="1">
      <c r="A38" s="7" t="s">
        <v>6</v>
      </c>
      <c r="B38" s="165" t="s">
        <v>0</v>
      </c>
      <c r="C38" s="165"/>
      <c r="D38" s="165"/>
      <c r="E38" s="165"/>
      <c r="F38" s="165"/>
      <c r="G38" s="165"/>
      <c r="H38" s="165"/>
      <c r="I38" s="137"/>
      <c r="J38" s="138"/>
    </row>
    <row r="39" spans="1:13" ht="24.6" customHeight="1">
      <c r="A39" s="7" t="s">
        <v>7</v>
      </c>
      <c r="B39" s="165" t="s">
        <v>41</v>
      </c>
      <c r="C39" s="165"/>
      <c r="D39" s="165"/>
      <c r="E39" s="166"/>
      <c r="F39" s="166"/>
      <c r="G39" s="166"/>
      <c r="H39" s="166"/>
      <c r="I39" s="137"/>
      <c r="J39" s="138"/>
    </row>
    <row r="40" spans="1:13" ht="24.6" customHeight="1">
      <c r="A40" s="28" t="s">
        <v>19</v>
      </c>
      <c r="B40" s="149" t="s">
        <v>37</v>
      </c>
      <c r="C40" s="167"/>
      <c r="D40" s="167"/>
      <c r="E40" s="167"/>
      <c r="F40" s="167"/>
      <c r="G40" s="167"/>
      <c r="H40" s="167"/>
      <c r="I40" s="139"/>
      <c r="J40" s="137"/>
    </row>
  </sheetData>
  <mergeCells count="13">
    <mergeCell ref="B40:H40"/>
    <mergeCell ref="A1:I1"/>
    <mergeCell ref="A2:A3"/>
    <mergeCell ref="B2:C2"/>
    <mergeCell ref="D2:D3"/>
    <mergeCell ref="E2:F2"/>
    <mergeCell ref="G2:G3"/>
    <mergeCell ref="H2:I2"/>
    <mergeCell ref="B35:H35"/>
    <mergeCell ref="B36:H36"/>
    <mergeCell ref="B37:H37"/>
    <mergeCell ref="B38:H38"/>
    <mergeCell ref="B39:H39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sqref="A1:I1"/>
    </sheetView>
  </sheetViews>
  <sheetFormatPr defaultRowHeight="15.95" customHeight="1"/>
  <cols>
    <col min="1" max="1" width="11.28515625" customWidth="1"/>
    <col min="2" max="2" width="17.28515625" customWidth="1"/>
    <col min="3" max="3" width="15.28515625" customWidth="1"/>
    <col min="4" max="4" width="19.5703125" customWidth="1"/>
    <col min="5" max="5" width="17" customWidth="1"/>
    <col min="6" max="6" width="14.7109375" customWidth="1"/>
    <col min="7" max="7" width="21.7109375" customWidth="1"/>
    <col min="8" max="8" width="17.140625" customWidth="1"/>
    <col min="9" max="9" width="16.140625" customWidth="1"/>
    <col min="11" max="11" width="17.7109375" bestFit="1" customWidth="1"/>
    <col min="12" max="12" width="13.42578125" bestFit="1" customWidth="1"/>
  </cols>
  <sheetData>
    <row r="1" spans="1:13" ht="58.9" customHeight="1" thickBot="1">
      <c r="A1" s="151" t="s">
        <v>49</v>
      </c>
      <c r="B1" s="151"/>
      <c r="C1" s="151"/>
      <c r="D1" s="151"/>
      <c r="E1" s="151"/>
      <c r="F1" s="151"/>
      <c r="G1" s="151"/>
      <c r="H1" s="151"/>
      <c r="I1" s="151"/>
    </row>
    <row r="2" spans="1:13" ht="12.75">
      <c r="A2" s="179" t="s">
        <v>11</v>
      </c>
      <c r="B2" s="169" t="s">
        <v>2</v>
      </c>
      <c r="C2" s="170"/>
      <c r="D2" s="171" t="s">
        <v>50</v>
      </c>
      <c r="E2" s="173" t="s">
        <v>8</v>
      </c>
      <c r="F2" s="174"/>
      <c r="G2" s="175" t="s">
        <v>9</v>
      </c>
      <c r="H2" s="177" t="s">
        <v>10</v>
      </c>
      <c r="I2" s="178"/>
    </row>
    <row r="3" spans="1:13" ht="12.75">
      <c r="A3" s="180"/>
      <c r="B3" s="5" t="s">
        <v>1</v>
      </c>
      <c r="C3" s="10" t="s">
        <v>29</v>
      </c>
      <c r="D3" s="172"/>
      <c r="E3" s="2" t="s">
        <v>1</v>
      </c>
      <c r="F3" s="11" t="s">
        <v>29</v>
      </c>
      <c r="G3" s="176"/>
      <c r="H3" s="12" t="s">
        <v>1</v>
      </c>
      <c r="I3" s="13" t="s">
        <v>29</v>
      </c>
    </row>
    <row r="4" spans="1:13" ht="12.75">
      <c r="A4" s="8">
        <v>1</v>
      </c>
      <c r="B4" s="134">
        <f>851101308/1000</f>
        <v>851101.30799999996</v>
      </c>
      <c r="C4" s="16">
        <f>223.889101*10^6</f>
        <v>223889101</v>
      </c>
      <c r="D4" s="3" t="s">
        <v>14</v>
      </c>
      <c r="E4" s="15"/>
      <c r="F4" s="16"/>
      <c r="G4" s="3"/>
      <c r="H4" s="15">
        <v>4303919.2337195193</v>
      </c>
      <c r="I4" s="17">
        <f>1132.1808582398*10^6</f>
        <v>1132180858.2398</v>
      </c>
      <c r="L4" s="135"/>
      <c r="M4" s="135"/>
    </row>
    <row r="5" spans="1:13" ht="12.75">
      <c r="A5" s="8">
        <f>A4+1</f>
        <v>2</v>
      </c>
      <c r="B5" s="134">
        <f>851443581/1000</f>
        <v>851443.58100000001</v>
      </c>
      <c r="C5" s="16">
        <f>223.979139*10^6</f>
        <v>223979139</v>
      </c>
      <c r="D5" s="3" t="s">
        <v>14</v>
      </c>
      <c r="E5" s="15"/>
      <c r="F5" s="16"/>
      <c r="G5" s="3"/>
      <c r="H5" s="15">
        <v>3445813.7101293867</v>
      </c>
      <c r="I5" s="17">
        <f>906.449241218035*10^6</f>
        <v>906449241.21803498</v>
      </c>
      <c r="L5" s="135"/>
      <c r="M5" s="135"/>
    </row>
    <row r="6" spans="1:13" ht="12.75">
      <c r="A6" s="18">
        <f>A5+1</f>
        <v>3</v>
      </c>
      <c r="B6" s="134">
        <f>851781078/1000</f>
        <v>851781.07799999998</v>
      </c>
      <c r="C6" s="16">
        <f>224.06792*10^6</f>
        <v>224067920</v>
      </c>
      <c r="D6" s="3" t="s">
        <v>14</v>
      </c>
      <c r="E6" s="15"/>
      <c r="F6" s="16"/>
      <c r="G6" s="3"/>
      <c r="H6" s="15">
        <v>2581276.2759730532</v>
      </c>
      <c r="I6" s="17">
        <f>679.025657960491*10^6</f>
        <v>679025657.96049106</v>
      </c>
      <c r="L6" s="135"/>
      <c r="M6" s="135"/>
    </row>
    <row r="7" spans="1:13" ht="12.75">
      <c r="A7" s="18">
        <f t="shared" ref="A7:A34" si="0">A6+1</f>
        <v>4</v>
      </c>
      <c r="B7" s="134">
        <f>653879197/1000</f>
        <v>653879.19700000004</v>
      </c>
      <c r="C7" s="16">
        <f>172.008226*10^6</f>
        <v>172008226</v>
      </c>
      <c r="D7" s="3" t="s">
        <v>14</v>
      </c>
      <c r="E7" s="15">
        <v>3476307.5869999998</v>
      </c>
      <c r="F7" s="16">
        <f>(E7/3.6)*1000</f>
        <v>965640996.38888884</v>
      </c>
      <c r="G7" s="3" t="s">
        <v>14</v>
      </c>
      <c r="H7" s="15">
        <v>4637865.9658070439</v>
      </c>
      <c r="I7" s="17">
        <f>1220.02825434776*10^6</f>
        <v>1220028254.34776</v>
      </c>
      <c r="L7" s="135"/>
      <c r="M7" s="135"/>
    </row>
    <row r="8" spans="1:13" ht="12.75">
      <c r="A8" s="8">
        <f t="shared" si="0"/>
        <v>5</v>
      </c>
      <c r="B8" s="134">
        <f>851428529/1000</f>
        <v>851428.52899999998</v>
      </c>
      <c r="C8" s="16">
        <f>223.975179*10^6</f>
        <v>223975179</v>
      </c>
      <c r="D8" s="3" t="s">
        <v>14</v>
      </c>
      <c r="E8" s="15"/>
      <c r="F8" s="16"/>
      <c r="G8" s="3"/>
      <c r="H8" s="15">
        <v>4549599.4852566347</v>
      </c>
      <c r="I8" s="17">
        <f>1196.80904081782*10^6</f>
        <v>1196809040.8178201</v>
      </c>
      <c r="L8" s="135"/>
      <c r="M8" s="135"/>
    </row>
    <row r="9" spans="1:13" ht="12.75">
      <c r="A9" s="8">
        <f t="shared" si="0"/>
        <v>6</v>
      </c>
      <c r="B9" s="134">
        <v>851491.34612468584</v>
      </c>
      <c r="C9" s="16">
        <f>223.991704*10^6</f>
        <v>223991704</v>
      </c>
      <c r="D9" s="3" t="s">
        <v>14</v>
      </c>
      <c r="E9" s="15"/>
      <c r="F9" s="16"/>
      <c r="G9" s="3"/>
      <c r="H9" s="15">
        <v>3693747.4417225276</v>
      </c>
      <c r="I9" s="17">
        <f>971.67022*10^6</f>
        <v>971670220</v>
      </c>
      <c r="L9" s="135"/>
      <c r="M9" s="135"/>
    </row>
    <row r="10" spans="1:13" ht="12.75">
      <c r="A10" s="8">
        <f t="shared" si="0"/>
        <v>7</v>
      </c>
      <c r="B10" s="134">
        <v>851631.9234291889</v>
      </c>
      <c r="C10" s="16">
        <f>224.028684*10^6</f>
        <v>224028684</v>
      </c>
      <c r="D10" s="3" t="s">
        <v>14</v>
      </c>
      <c r="E10" s="15"/>
      <c r="F10" s="16"/>
      <c r="G10" s="3"/>
      <c r="H10" s="15">
        <v>2838389.8091682871</v>
      </c>
      <c r="I10" s="17">
        <f>746.661458*10^6</f>
        <v>746661458</v>
      </c>
      <c r="L10" s="135"/>
      <c r="M10" s="135"/>
    </row>
    <row r="11" spans="1:13" ht="12.75">
      <c r="A11" s="8">
        <f t="shared" si="0"/>
        <v>8</v>
      </c>
      <c r="B11" s="134">
        <v>653956.71757909935</v>
      </c>
      <c r="C11" s="16">
        <f>172.028618*10^6</f>
        <v>172028618</v>
      </c>
      <c r="D11" s="3" t="s">
        <v>14</v>
      </c>
      <c r="E11" s="15">
        <v>3484917.9810000001</v>
      </c>
      <c r="F11" s="16">
        <f>(E11/3.6)*1000</f>
        <v>968032772.5</v>
      </c>
      <c r="G11" s="3" t="s">
        <v>14</v>
      </c>
      <c r="H11" s="15">
        <v>2179264.9787293701</v>
      </c>
      <c r="I11" s="17">
        <f>573.273326*10^6</f>
        <v>573273326</v>
      </c>
      <c r="L11" s="135"/>
      <c r="M11" s="135"/>
    </row>
    <row r="12" spans="1:13" ht="12.75">
      <c r="A12" s="8">
        <f t="shared" si="0"/>
        <v>9</v>
      </c>
      <c r="B12" s="134">
        <f>811908749/1000</f>
        <v>811908.74899999995</v>
      </c>
      <c r="C12" s="16">
        <f>213.579181*10^6</f>
        <v>213579181</v>
      </c>
      <c r="D12" s="3" t="s">
        <v>14</v>
      </c>
      <c r="E12" s="15"/>
      <c r="F12" s="16"/>
      <c r="G12" s="3"/>
      <c r="H12" s="15">
        <v>2952962.4247599519</v>
      </c>
      <c r="I12" s="17">
        <f>776.800713689342*10^6</f>
        <v>776800713.68934202</v>
      </c>
      <c r="L12" s="135"/>
      <c r="M12" s="135"/>
    </row>
    <row r="13" spans="1:13" ht="12.75">
      <c r="A13" s="18">
        <f t="shared" si="0"/>
        <v>10</v>
      </c>
      <c r="B13" s="134">
        <f>592333652/1000</f>
        <v>592333.652</v>
      </c>
      <c r="C13" s="16">
        <f>155.818171*10^6</f>
        <v>155818171</v>
      </c>
      <c r="D13" s="3" t="s">
        <v>14</v>
      </c>
      <c r="E13" s="15"/>
      <c r="F13" s="16"/>
      <c r="G13" s="3"/>
      <c r="H13" s="15">
        <v>4261990.0085320193</v>
      </c>
      <c r="I13" s="17">
        <f>1121.15103551771*10^6</f>
        <v>1121151035.51771</v>
      </c>
      <c r="L13" s="135"/>
      <c r="M13" s="135"/>
    </row>
    <row r="14" spans="1:13" ht="12.75">
      <c r="A14" s="18">
        <f t="shared" si="0"/>
        <v>11</v>
      </c>
      <c r="B14" s="134">
        <f>533351919/1000</f>
        <v>533351.91899999999</v>
      </c>
      <c r="C14" s="16">
        <f>140.302548*10^6</f>
        <v>140302548</v>
      </c>
      <c r="D14" s="3" t="s">
        <v>14</v>
      </c>
      <c r="E14" s="15"/>
      <c r="F14" s="16"/>
      <c r="G14" s="3"/>
      <c r="H14" s="15">
        <v>3720719.9778416106</v>
      </c>
      <c r="I14" s="17">
        <f>978.765564367283*10^6</f>
        <v>978765564.36728299</v>
      </c>
      <c r="K14" s="136"/>
      <c r="L14" s="135"/>
      <c r="M14" s="135"/>
    </row>
    <row r="15" spans="1:13" ht="12.75">
      <c r="A15" s="8">
        <f t="shared" si="0"/>
        <v>12</v>
      </c>
      <c r="B15" s="134">
        <f>811331781/1000</f>
        <v>811331.78099999996</v>
      </c>
      <c r="C15" s="16">
        <f>213.427405*10^6</f>
        <v>213427405</v>
      </c>
      <c r="D15" s="3" t="s">
        <v>14</v>
      </c>
      <c r="E15" s="15"/>
      <c r="F15" s="16"/>
      <c r="G15" s="3"/>
      <c r="H15" s="15">
        <v>2898525.6954102525</v>
      </c>
      <c r="I15" s="17">
        <f>762.480690564362*10^6</f>
        <v>762480690.56436205</v>
      </c>
      <c r="L15" s="135"/>
      <c r="M15" s="135"/>
    </row>
    <row r="16" spans="1:13" ht="12.75">
      <c r="A16" s="8">
        <f t="shared" si="0"/>
        <v>13</v>
      </c>
      <c r="B16" s="134">
        <f>850496833/1000</f>
        <v>850496.83299999998</v>
      </c>
      <c r="C16" s="16">
        <f>223.730089*10^6</f>
        <v>223730089</v>
      </c>
      <c r="D16" s="3" t="s">
        <v>14</v>
      </c>
      <c r="E16" s="15">
        <v>3531003.5419999999</v>
      </c>
      <c r="F16" s="16">
        <f>(E16/3.6)*1000</f>
        <v>980834317.22222221</v>
      </c>
      <c r="G16" s="3" t="s">
        <v>14</v>
      </c>
      <c r="H16" s="15">
        <v>3357623.643100685</v>
      </c>
      <c r="I16" s="17">
        <f>883.250128884672*10^6</f>
        <v>883250128.88467205</v>
      </c>
      <c r="L16" s="135"/>
      <c r="M16" s="135"/>
    </row>
    <row r="17" spans="1:13" ht="12.75">
      <c r="A17" s="8">
        <f t="shared" si="0"/>
        <v>14</v>
      </c>
      <c r="B17" s="134">
        <v>786991.30099999998</v>
      </c>
      <c r="C17" s="16">
        <f>207.024444*10^6</f>
        <v>207024444</v>
      </c>
      <c r="D17" s="3" t="s">
        <v>14</v>
      </c>
      <c r="E17" s="15"/>
      <c r="F17" s="16"/>
      <c r="G17" s="3"/>
      <c r="H17" s="15">
        <v>4786492.9004230537</v>
      </c>
      <c r="I17" s="17">
        <f>1259.12577482927*10^6</f>
        <v>1259125774.8292701</v>
      </c>
      <c r="L17" s="135"/>
      <c r="M17" s="135"/>
    </row>
    <row r="18" spans="1:13" ht="12.75">
      <c r="A18" s="8">
        <f t="shared" si="0"/>
        <v>15</v>
      </c>
      <c r="B18" s="134">
        <f>854397591/1000</f>
        <v>854397.59100000001</v>
      </c>
      <c r="C18" s="16">
        <f>224.756215*10^6</f>
        <v>224756215</v>
      </c>
      <c r="D18" s="3" t="s">
        <v>14</v>
      </c>
      <c r="E18" s="15"/>
      <c r="F18" s="16"/>
      <c r="G18" s="3"/>
      <c r="H18" s="15">
        <v>3926810.8389240145</v>
      </c>
      <c r="I18" s="17">
        <f>1032.9794367252*10^6</f>
        <v>1032979436.7252001</v>
      </c>
      <c r="L18" s="135"/>
      <c r="M18" s="135"/>
    </row>
    <row r="19" spans="1:13" ht="12.75">
      <c r="A19" s="8">
        <f t="shared" si="0"/>
        <v>16</v>
      </c>
      <c r="B19" s="134">
        <f>790718441/1000</f>
        <v>790718.44099999999</v>
      </c>
      <c r="C19" s="16">
        <f>208.004898*10^6</f>
        <v>208004898</v>
      </c>
      <c r="D19" s="3" t="s">
        <v>14</v>
      </c>
      <c r="E19" s="15"/>
      <c r="F19" s="16"/>
      <c r="G19" s="3"/>
      <c r="H19" s="15">
        <v>3129621.1447913945</v>
      </c>
      <c r="I19" s="17">
        <f>823.272222655808*10^6</f>
        <v>823272222.65580809</v>
      </c>
      <c r="L19" s="135"/>
      <c r="M19" s="135"/>
    </row>
    <row r="20" spans="1:13" ht="12.75">
      <c r="A20" s="18">
        <f t="shared" si="0"/>
        <v>17</v>
      </c>
      <c r="B20" s="134">
        <f>237251661/1000</f>
        <v>237251.66099999999</v>
      </c>
      <c r="C20" s="16">
        <f>62.410973*10^6</f>
        <v>62410973</v>
      </c>
      <c r="D20" s="3" t="s">
        <v>14</v>
      </c>
      <c r="E20" s="15"/>
      <c r="F20" s="16"/>
      <c r="G20" s="3"/>
      <c r="H20" s="15">
        <v>2892743.8986303727</v>
      </c>
      <c r="I20" s="17">
        <f>760.959742032352*10^6</f>
        <v>760959742.03235197</v>
      </c>
      <c r="L20" s="135"/>
      <c r="M20" s="135"/>
    </row>
    <row r="21" spans="1:13" ht="12.75">
      <c r="A21" s="18">
        <f t="shared" si="0"/>
        <v>18</v>
      </c>
      <c r="B21" s="134">
        <f>236779281/1000</f>
        <v>236779.28099999999</v>
      </c>
      <c r="C21" s="16">
        <f>62.28671*10^6</f>
        <v>62286710</v>
      </c>
      <c r="D21" s="3" t="s">
        <v>14</v>
      </c>
      <c r="E21" s="15"/>
      <c r="F21" s="16"/>
      <c r="G21" s="3"/>
      <c r="H21" s="15">
        <v>2655986.5426498917</v>
      </c>
      <c r="I21" s="17">
        <f>698.67879949317*10^6</f>
        <v>698678799.49317002</v>
      </c>
      <c r="L21" s="135"/>
      <c r="M21" s="135"/>
    </row>
    <row r="22" spans="1:13" ht="12.75">
      <c r="A22" s="8">
        <f t="shared" si="0"/>
        <v>19</v>
      </c>
      <c r="B22" s="134">
        <f>315480363/1000</f>
        <v>315480.36300000001</v>
      </c>
      <c r="C22" s="16">
        <f>82.989668*10^6</f>
        <v>82989668</v>
      </c>
      <c r="D22" s="3" t="s">
        <v>14</v>
      </c>
      <c r="E22" s="15"/>
      <c r="F22" s="16"/>
      <c r="G22" s="3"/>
      <c r="H22" s="15">
        <v>2326791.821355762</v>
      </c>
      <c r="I22" s="17">
        <f>612.081458362142*10^6</f>
        <v>612081458.36214209</v>
      </c>
      <c r="L22" s="135"/>
      <c r="M22" s="135"/>
    </row>
    <row r="23" spans="1:13" ht="12.75">
      <c r="A23" s="8">
        <f t="shared" si="0"/>
        <v>20</v>
      </c>
      <c r="B23" s="134">
        <f>237556711/1000</f>
        <v>237556.71100000001</v>
      </c>
      <c r="C23" s="16">
        <f>62.491219*10^6</f>
        <v>62491219</v>
      </c>
      <c r="D23" s="3" t="s">
        <v>14</v>
      </c>
      <c r="E23" s="15"/>
      <c r="F23" s="16"/>
      <c r="G23" s="3"/>
      <c r="H23" s="15">
        <v>2086553.0988632813</v>
      </c>
      <c r="I23" s="17">
        <f>548.884714128885*10^6</f>
        <v>548884714.12888503</v>
      </c>
      <c r="L23" s="135"/>
      <c r="M23" s="135"/>
    </row>
    <row r="24" spans="1:13" ht="12.75">
      <c r="A24" s="8">
        <f t="shared" si="0"/>
        <v>21</v>
      </c>
      <c r="B24" s="134">
        <f>237150059/1000</f>
        <v>237150.05900000001</v>
      </c>
      <c r="C24" s="16">
        <f>62.384246*10^6</f>
        <v>62384246</v>
      </c>
      <c r="D24" s="3" t="s">
        <v>14</v>
      </c>
      <c r="E24" s="15"/>
      <c r="F24" s="16"/>
      <c r="G24" s="3"/>
      <c r="H24" s="15">
        <v>1852636.5772413078</v>
      </c>
      <c r="I24" s="17">
        <f>487.351076106231*10^6</f>
        <v>487351076.10623103</v>
      </c>
      <c r="L24" s="135"/>
      <c r="M24" s="135"/>
    </row>
    <row r="25" spans="1:13" ht="12.75">
      <c r="A25" s="8">
        <f t="shared" si="0"/>
        <v>22</v>
      </c>
      <c r="B25" s="134">
        <v>236623.06099999999</v>
      </c>
      <c r="C25" s="16">
        <v>62245615</v>
      </c>
      <c r="D25" s="3" t="s">
        <v>14</v>
      </c>
      <c r="E25" s="15"/>
      <c r="F25" s="16"/>
      <c r="G25" s="3"/>
      <c r="H25" s="15">
        <v>1606361.4000000001</v>
      </c>
      <c r="I25" s="17">
        <v>422563644</v>
      </c>
      <c r="L25" s="135"/>
      <c r="M25" s="135"/>
    </row>
    <row r="26" spans="1:13" ht="12.75">
      <c r="A26" s="8">
        <f t="shared" si="0"/>
        <v>23</v>
      </c>
      <c r="B26" s="134">
        <f>238278528/1000</f>
        <v>238278.52799999999</v>
      </c>
      <c r="C26" s="16">
        <f>62.681099*10^6</f>
        <v>62681099</v>
      </c>
      <c r="D26" s="3" t="s">
        <v>14</v>
      </c>
      <c r="E26" s="15">
        <v>3319145.1039999998</v>
      </c>
      <c r="F26" s="16">
        <f>(E26/3.6)*1000</f>
        <v>921984751.11111104</v>
      </c>
      <c r="G26" s="3" t="s">
        <v>14</v>
      </c>
      <c r="H26" s="15">
        <v>2852910.056768558</v>
      </c>
      <c r="I26" s="17">
        <f>750.481126887169*10^6</f>
        <v>750481126.887169</v>
      </c>
      <c r="L26" s="135"/>
      <c r="M26" s="135"/>
    </row>
    <row r="27" spans="1:13" ht="12.75">
      <c r="A27" s="18">
        <f t="shared" si="0"/>
        <v>24</v>
      </c>
      <c r="B27" s="134">
        <f>236489522/1000</f>
        <v>236489.522</v>
      </c>
      <c r="C27" s="16">
        <f>62.210487*10^6</f>
        <v>62210487</v>
      </c>
      <c r="D27" s="3" t="s">
        <v>14</v>
      </c>
      <c r="E27" s="15"/>
      <c r="F27" s="16"/>
      <c r="G27" s="3"/>
      <c r="H27" s="15">
        <v>4463085.4853476686</v>
      </c>
      <c r="I27" s="17">
        <f>1174.05083153283*10^6</f>
        <v>1174050831.53283</v>
      </c>
      <c r="L27" s="135"/>
      <c r="M27" s="135"/>
    </row>
    <row r="28" spans="1:13" ht="12.75">
      <c r="A28" s="18">
        <f t="shared" si="0"/>
        <v>25</v>
      </c>
      <c r="B28" s="134">
        <f>237927019/1000</f>
        <v>237927.019</v>
      </c>
      <c r="C28" s="16">
        <f>62.588632*10^6</f>
        <v>62588632</v>
      </c>
      <c r="D28" s="3" t="s">
        <v>14</v>
      </c>
      <c r="E28" s="15"/>
      <c r="F28" s="16"/>
      <c r="G28" s="3"/>
      <c r="H28" s="15">
        <v>4220054.31574238</v>
      </c>
      <c r="I28" s="17">
        <f>1110.11951144043*10^6</f>
        <v>1110119511.4404299</v>
      </c>
      <c r="L28" s="135"/>
      <c r="M28" s="135"/>
    </row>
    <row r="29" spans="1:13" ht="12.75">
      <c r="A29" s="8">
        <f t="shared" si="0"/>
        <v>26</v>
      </c>
      <c r="B29" s="134">
        <f>236960261/1000</f>
        <v>236960.261</v>
      </c>
      <c r="C29" s="16">
        <f>62.334318*10^6</f>
        <v>62334318</v>
      </c>
      <c r="D29" s="3" t="s">
        <v>14</v>
      </c>
      <c r="E29" s="15"/>
      <c r="F29" s="16"/>
      <c r="G29" s="3"/>
      <c r="H29" s="15">
        <v>3981395.4847302642</v>
      </c>
      <c r="I29" s="17">
        <f>1047.33837047365*10^6</f>
        <v>1047338370.47365</v>
      </c>
      <c r="L29" s="135"/>
      <c r="M29" s="135"/>
    </row>
    <row r="30" spans="1:13" ht="12.75">
      <c r="A30" s="8">
        <f t="shared" si="0"/>
        <v>27</v>
      </c>
      <c r="B30" s="134">
        <f>237007739/1000</f>
        <v>237007.739</v>
      </c>
      <c r="C30" s="16">
        <f>62.346808*10^6</f>
        <v>62346808</v>
      </c>
      <c r="D30" s="3" t="s">
        <v>14</v>
      </c>
      <c r="E30" s="15"/>
      <c r="F30" s="16"/>
      <c r="G30" s="3"/>
      <c r="H30" s="15">
        <v>3736618.3020857451</v>
      </c>
      <c r="I30" s="17">
        <f>982.94774749151*10^6</f>
        <v>982947747.49150991</v>
      </c>
      <c r="L30" s="135"/>
      <c r="M30" s="135"/>
    </row>
    <row r="31" spans="1:13" ht="12.75">
      <c r="A31" s="8">
        <f t="shared" si="0"/>
        <v>28</v>
      </c>
      <c r="B31" s="134">
        <f>237118919/1000</f>
        <v>237118.91899999999</v>
      </c>
      <c r="C31" s="16">
        <f>62.376055*10^6</f>
        <v>62376055</v>
      </c>
      <c r="D31" s="3" t="s">
        <v>14</v>
      </c>
      <c r="E31" s="15"/>
      <c r="F31" s="16"/>
      <c r="G31" s="3"/>
      <c r="H31" s="15">
        <v>3497044.9042216828</v>
      </c>
      <c r="I31" s="17">
        <f>919.92602229739*10^6</f>
        <v>919926022.29738998</v>
      </c>
      <c r="L31" s="135"/>
      <c r="M31" s="135"/>
    </row>
    <row r="32" spans="1:13" ht="12.75">
      <c r="A32" s="8">
        <f t="shared" si="0"/>
        <v>29</v>
      </c>
      <c r="B32" s="134">
        <f>238482468/1000</f>
        <v>238482.46799999999</v>
      </c>
      <c r="C32" s="16">
        <f>62.734747*10^6</f>
        <v>62734747</v>
      </c>
      <c r="D32" s="3" t="s">
        <v>14</v>
      </c>
      <c r="E32" s="15"/>
      <c r="F32" s="16"/>
      <c r="G32" s="3"/>
      <c r="H32" s="15">
        <v>3253531.778485938</v>
      </c>
      <c r="I32" s="17">
        <f>855.867919736324*10^6</f>
        <v>855867919.73632395</v>
      </c>
      <c r="L32" s="135"/>
      <c r="M32" s="135"/>
    </row>
    <row r="33" spans="1:13" ht="12.75">
      <c r="A33" s="8">
        <f t="shared" si="0"/>
        <v>30</v>
      </c>
      <c r="B33" s="134">
        <f>237326419/1000</f>
        <v>237326.41899999999</v>
      </c>
      <c r="C33" s="16">
        <f>62.430639*10^6</f>
        <v>62430639</v>
      </c>
      <c r="D33" s="3" t="s">
        <v>14</v>
      </c>
      <c r="E33" s="15"/>
      <c r="F33" s="16"/>
      <c r="G33" s="3"/>
      <c r="H33" s="15">
        <v>2994584.2046000003</v>
      </c>
      <c r="I33" s="17">
        <f>787.749660419471*10^6</f>
        <v>787749660.41947091</v>
      </c>
      <c r="L33" s="135"/>
      <c r="M33" s="135"/>
    </row>
    <row r="34" spans="1:13" ht="12.75">
      <c r="A34" s="18">
        <f t="shared" si="0"/>
        <v>31</v>
      </c>
      <c r="B34" s="134">
        <f>237319463/1000</f>
        <v>237319.46299999999</v>
      </c>
      <c r="C34" s="16">
        <f>62.1428809*10^6</f>
        <v>62142880.899999999</v>
      </c>
      <c r="D34" s="3" t="s">
        <v>14</v>
      </c>
      <c r="E34" s="15"/>
      <c r="F34" s="16"/>
      <c r="G34" s="3"/>
      <c r="H34" s="15">
        <v>2749833.9794999999</v>
      </c>
      <c r="I34" s="17">
        <f>723.366128838042*10^6</f>
        <v>723366128.8380419</v>
      </c>
      <c r="L34" s="135"/>
      <c r="M34" s="135"/>
    </row>
    <row r="35" spans="1:13" ht="12.75">
      <c r="A35" s="108"/>
      <c r="B35" s="25"/>
      <c r="C35" s="25"/>
      <c r="D35" s="26"/>
      <c r="E35" s="25"/>
      <c r="F35" s="25"/>
      <c r="G35" s="26"/>
      <c r="H35" s="25"/>
      <c r="I35" s="25"/>
    </row>
    <row r="36" spans="1:13" ht="24.6" customHeight="1">
      <c r="A36" s="108"/>
      <c r="B36" s="163" t="s">
        <v>17</v>
      </c>
      <c r="C36" s="163"/>
      <c r="D36" s="163"/>
      <c r="E36" s="164"/>
      <c r="F36" s="164"/>
      <c r="G36" s="164"/>
      <c r="H36" s="164"/>
      <c r="I36" s="140"/>
    </row>
    <row r="37" spans="1:13" ht="24.6" customHeight="1">
      <c r="A37" s="7" t="s">
        <v>5</v>
      </c>
      <c r="B37" s="165" t="s">
        <v>18</v>
      </c>
      <c r="C37" s="165"/>
      <c r="D37" s="165"/>
      <c r="E37" s="166"/>
      <c r="F37" s="166"/>
      <c r="G37" s="166"/>
      <c r="H37" s="166"/>
      <c r="I37" s="140"/>
      <c r="J37" s="138"/>
    </row>
    <row r="38" spans="1:13" ht="24.6" customHeight="1">
      <c r="A38" s="7" t="s">
        <v>6</v>
      </c>
      <c r="B38" s="165" t="s">
        <v>0</v>
      </c>
      <c r="C38" s="165"/>
      <c r="D38" s="165"/>
      <c r="E38" s="165"/>
      <c r="F38" s="165"/>
      <c r="G38" s="165"/>
      <c r="H38" s="165"/>
      <c r="I38" s="137"/>
      <c r="J38" s="138"/>
    </row>
    <row r="39" spans="1:13" ht="24.6" customHeight="1">
      <c r="A39" s="7" t="s">
        <v>7</v>
      </c>
      <c r="B39" s="165" t="s">
        <v>41</v>
      </c>
      <c r="C39" s="165"/>
      <c r="D39" s="165"/>
      <c r="E39" s="166"/>
      <c r="F39" s="166"/>
      <c r="G39" s="166"/>
      <c r="H39" s="166"/>
      <c r="I39" s="137"/>
      <c r="J39" s="138"/>
    </row>
    <row r="40" spans="1:13" ht="24.6" customHeight="1">
      <c r="A40" s="28" t="s">
        <v>19</v>
      </c>
      <c r="B40" s="149" t="s">
        <v>37</v>
      </c>
      <c r="C40" s="167"/>
      <c r="D40" s="167"/>
      <c r="E40" s="167"/>
      <c r="F40" s="167"/>
      <c r="G40" s="167"/>
      <c r="H40" s="167"/>
      <c r="I40" s="139"/>
      <c r="J40" s="137"/>
    </row>
  </sheetData>
  <mergeCells count="12">
    <mergeCell ref="B40:H40"/>
    <mergeCell ref="A1:I1"/>
    <mergeCell ref="A2:A3"/>
    <mergeCell ref="B2:C2"/>
    <mergeCell ref="D2:D3"/>
    <mergeCell ref="E2:F2"/>
    <mergeCell ref="G2:G3"/>
    <mergeCell ref="H2:I2"/>
    <mergeCell ref="B36:H36"/>
    <mergeCell ref="B37:H37"/>
    <mergeCell ref="B38:H38"/>
    <mergeCell ref="B39:H39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sqref="A1:I1"/>
    </sheetView>
  </sheetViews>
  <sheetFormatPr defaultRowHeight="15.95" customHeight="1"/>
  <cols>
    <col min="1" max="1" width="11.28515625" customWidth="1"/>
    <col min="2" max="2" width="17.28515625" customWidth="1"/>
    <col min="3" max="3" width="15.28515625" customWidth="1"/>
    <col min="4" max="4" width="19.5703125" customWidth="1"/>
    <col min="5" max="5" width="17" customWidth="1"/>
    <col min="6" max="6" width="14.7109375" customWidth="1"/>
    <col min="7" max="7" width="21.7109375" customWidth="1"/>
    <col min="8" max="8" width="17.140625" customWidth="1"/>
    <col min="9" max="9" width="16.140625" customWidth="1"/>
    <col min="11" max="11" width="17.7109375" bestFit="1" customWidth="1"/>
    <col min="12" max="12" width="13.42578125" bestFit="1" customWidth="1"/>
  </cols>
  <sheetData>
    <row r="1" spans="1:13" ht="58.9" customHeight="1" thickBot="1">
      <c r="A1" s="151" t="s">
        <v>51</v>
      </c>
      <c r="B1" s="151"/>
      <c r="C1" s="151"/>
      <c r="D1" s="151"/>
      <c r="E1" s="151"/>
      <c r="F1" s="151"/>
      <c r="G1" s="151"/>
      <c r="H1" s="151"/>
      <c r="I1" s="151"/>
    </row>
    <row r="2" spans="1:13" ht="12.75">
      <c r="A2" s="179" t="s">
        <v>11</v>
      </c>
      <c r="B2" s="169" t="s">
        <v>2</v>
      </c>
      <c r="C2" s="170"/>
      <c r="D2" s="171" t="s">
        <v>50</v>
      </c>
      <c r="E2" s="173" t="s">
        <v>8</v>
      </c>
      <c r="F2" s="174"/>
      <c r="G2" s="175" t="s">
        <v>9</v>
      </c>
      <c r="H2" s="177" t="s">
        <v>10</v>
      </c>
      <c r="I2" s="178"/>
    </row>
    <row r="3" spans="1:13" ht="12.75">
      <c r="A3" s="180"/>
      <c r="B3" s="5" t="s">
        <v>1</v>
      </c>
      <c r="C3" s="10" t="s">
        <v>29</v>
      </c>
      <c r="D3" s="172"/>
      <c r="E3" s="2" t="s">
        <v>1</v>
      </c>
      <c r="F3" s="11" t="s">
        <v>29</v>
      </c>
      <c r="G3" s="176"/>
      <c r="H3" s="12" t="s">
        <v>1</v>
      </c>
      <c r="I3" s="13" t="s">
        <v>29</v>
      </c>
    </row>
    <row r="4" spans="1:13" ht="12.75">
      <c r="A4" s="18">
        <v>1</v>
      </c>
      <c r="B4" s="134">
        <f>276860114/1000</f>
        <v>276860.114</v>
      </c>
      <c r="C4" s="16">
        <f>72.830298*10^6</f>
        <v>72830298</v>
      </c>
      <c r="D4" s="3" t="s">
        <v>50</v>
      </c>
      <c r="E4" s="15"/>
      <c r="F4" s="16"/>
      <c r="G4" s="3"/>
      <c r="H4" s="15">
        <v>2505083.7785</v>
      </c>
      <c r="I4" s="17">
        <f>658.982603596312*10^6</f>
        <v>658982603.59631193</v>
      </c>
      <c r="K4" s="181"/>
      <c r="L4" s="135"/>
      <c r="M4" s="135"/>
    </row>
    <row r="5" spans="1:13" ht="12.75">
      <c r="A5" s="8">
        <f>A4+1</f>
        <v>2</v>
      </c>
      <c r="B5" s="134">
        <f>316544945/1000</f>
        <v>316544.94500000001</v>
      </c>
      <c r="C5" s="16">
        <f>83.269715*10^6</f>
        <v>83269715</v>
      </c>
      <c r="D5" s="3" t="s">
        <v>50</v>
      </c>
      <c r="E5" s="15"/>
      <c r="F5" s="16"/>
      <c r="G5" s="3"/>
      <c r="H5" s="15">
        <v>2159765.2772499016</v>
      </c>
      <c r="I5" s="17">
        <f>568.143771387665*10^6</f>
        <v>568143771.38766491</v>
      </c>
      <c r="K5" s="181"/>
      <c r="L5" s="135"/>
      <c r="M5" s="135"/>
    </row>
    <row r="6" spans="1:13" ht="12.75">
      <c r="A6" s="8">
        <f>A5+1</f>
        <v>3</v>
      </c>
      <c r="B6" s="134">
        <f>277193070/1000</f>
        <v>277193.07</v>
      </c>
      <c r="C6" s="16">
        <f>72.917885*10^6</f>
        <v>72917885</v>
      </c>
      <c r="D6" s="3" t="s">
        <v>50</v>
      </c>
      <c r="E6" s="15"/>
      <c r="F6" s="16"/>
      <c r="G6" s="3"/>
      <c r="H6" s="15">
        <v>1876339.7402632814</v>
      </c>
      <c r="I6" s="17">
        <f>493.586385366443*10^6</f>
        <v>493586385.36644298</v>
      </c>
      <c r="K6" s="181"/>
      <c r="L6" s="135"/>
      <c r="M6" s="135"/>
    </row>
    <row r="7" spans="1:13" ht="12.75">
      <c r="A7" s="8">
        <f t="shared" ref="A7:A34" si="0">A6+1</f>
        <v>4</v>
      </c>
      <c r="B7" s="134">
        <f>713586785/1000</f>
        <v>713586.78500000003</v>
      </c>
      <c r="C7" s="16">
        <f>187.714791*10^6</f>
        <v>187714791</v>
      </c>
      <c r="D7" s="3" t="s">
        <v>50</v>
      </c>
      <c r="E7" s="15"/>
      <c r="F7" s="16"/>
      <c r="G7" s="3"/>
      <c r="H7" s="15">
        <v>1153439.3797010253</v>
      </c>
      <c r="I7" s="17">
        <f>303.421582962399*10^6</f>
        <v>303421582.96239901</v>
      </c>
      <c r="K7" s="181"/>
      <c r="L7" s="135"/>
      <c r="M7" s="135"/>
    </row>
    <row r="8" spans="1:13" ht="12.75">
      <c r="A8" s="8">
        <f t="shared" si="0"/>
        <v>5</v>
      </c>
      <c r="B8" s="134">
        <f>237709242/1000</f>
        <v>237709.242</v>
      </c>
      <c r="C8" s="16">
        <f>62.531344*10^6</f>
        <v>62531344</v>
      </c>
      <c r="D8" s="3" t="s">
        <v>50</v>
      </c>
      <c r="E8" s="15"/>
      <c r="F8" s="16"/>
      <c r="G8" s="3"/>
      <c r="H8" s="15">
        <v>920519.28800634865</v>
      </c>
      <c r="I8" s="17">
        <f>242.150063912941*10^6</f>
        <v>242150063.91294098</v>
      </c>
      <c r="K8" s="181"/>
      <c r="L8" s="135"/>
      <c r="M8" s="135"/>
    </row>
    <row r="9" spans="1:13" ht="12.75">
      <c r="A9" s="8">
        <f t="shared" si="0"/>
        <v>6</v>
      </c>
      <c r="B9" s="134">
        <f>237936806/1000</f>
        <v>237936.80600000001</v>
      </c>
      <c r="C9" s="16">
        <f>62.591206*10^6</f>
        <v>62591206</v>
      </c>
      <c r="D9" s="3" t="s">
        <v>50</v>
      </c>
      <c r="E9" s="15"/>
      <c r="F9" s="16"/>
      <c r="G9" s="3"/>
      <c r="H9" s="15">
        <v>911491.35380000004</v>
      </c>
      <c r="I9" s="17">
        <f>239.77519260546*10^6</f>
        <v>239775192.60546002</v>
      </c>
      <c r="K9" s="181"/>
      <c r="L9" s="135"/>
      <c r="M9" s="135"/>
    </row>
    <row r="10" spans="1:13" ht="12.75">
      <c r="A10" s="18">
        <f t="shared" si="0"/>
        <v>7</v>
      </c>
      <c r="B10" s="134">
        <f>475676859/1000</f>
        <v>475676.859</v>
      </c>
      <c r="C10" s="16">
        <f>125.130655*10^6</f>
        <v>125130655</v>
      </c>
      <c r="D10" s="3" t="s">
        <v>50</v>
      </c>
      <c r="E10" s="15">
        <v>3452142.0950000002</v>
      </c>
      <c r="F10" s="16">
        <f>(E10/3.6)*1000</f>
        <v>958928359.72222221</v>
      </c>
      <c r="G10" s="3" t="s">
        <v>14</v>
      </c>
      <c r="H10" s="15">
        <v>3353490.9000000004</v>
      </c>
      <c r="I10" s="17">
        <f>882.162977296426*10^6</f>
        <v>882162977.29642594</v>
      </c>
      <c r="K10" s="181"/>
      <c r="L10" s="135"/>
      <c r="M10" s="135"/>
    </row>
    <row r="11" spans="1:13" ht="12.75">
      <c r="A11" s="18">
        <f t="shared" si="0"/>
        <v>8</v>
      </c>
      <c r="B11" s="134">
        <f>593422499/1000</f>
        <v>593422.49899999995</v>
      </c>
      <c r="C11" s="16">
        <f>156.104601*10^6</f>
        <v>156104601</v>
      </c>
      <c r="D11" s="3" t="s">
        <v>50</v>
      </c>
      <c r="E11" s="15"/>
      <c r="F11" s="16"/>
      <c r="G11" s="3"/>
      <c r="H11" s="15">
        <v>2746918</v>
      </c>
      <c r="I11" s="17">
        <f>722.599056782633*10^6</f>
        <v>722599056.78263307</v>
      </c>
      <c r="K11" s="181"/>
      <c r="L11" s="135"/>
      <c r="M11" s="135"/>
    </row>
    <row r="12" spans="1:13" ht="12.75">
      <c r="A12" s="8">
        <f t="shared" si="0"/>
        <v>9</v>
      </c>
      <c r="B12" s="134">
        <f>851740434/1000</f>
        <v>851740.43400000001</v>
      </c>
      <c r="C12" s="16">
        <f>224.057229*10^6</f>
        <v>224057229</v>
      </c>
      <c r="D12" s="3" t="s">
        <v>50</v>
      </c>
      <c r="E12" s="15"/>
      <c r="F12" s="16"/>
      <c r="H12" s="15">
        <v>2198323.8037843751</v>
      </c>
      <c r="I12" s="17">
        <f>578.286904493473*10^6</f>
        <v>578286904.49347305</v>
      </c>
      <c r="K12" s="181"/>
      <c r="L12" s="135"/>
      <c r="M12" s="135"/>
    </row>
    <row r="13" spans="1:13" ht="12.75">
      <c r="A13" s="8">
        <f t="shared" si="0"/>
        <v>10</v>
      </c>
      <c r="B13" s="134">
        <f>832723857/1000</f>
        <v>832723.85699999996</v>
      </c>
      <c r="C13" s="16">
        <f>219.054764*10^6</f>
        <v>219054764</v>
      </c>
      <c r="D13" s="3" t="s">
        <v>50</v>
      </c>
      <c r="E13" s="15"/>
      <c r="F13" s="16"/>
      <c r="G13" s="3"/>
      <c r="H13" s="15">
        <v>1355159.638861231</v>
      </c>
      <c r="I13" s="17">
        <f>356.485733040091*10^6</f>
        <v>356485733.04009104</v>
      </c>
      <c r="K13" s="181"/>
      <c r="L13" s="135"/>
      <c r="M13" s="135"/>
    </row>
    <row r="14" spans="1:13" ht="12.75">
      <c r="A14" s="8">
        <f t="shared" si="0"/>
        <v>11</v>
      </c>
      <c r="B14" s="134">
        <f>852214826/1000</f>
        <v>852214.826</v>
      </c>
      <c r="C14" s="16">
        <f>224.182021*10^6</f>
        <v>224182021</v>
      </c>
      <c r="D14" s="3" t="s">
        <v>50</v>
      </c>
      <c r="E14" s="15">
        <v>3449983.5520000001</v>
      </c>
      <c r="F14" s="16">
        <f>(E14/3.6)*1000</f>
        <v>958328764.44444442</v>
      </c>
      <c r="G14" s="3" t="s">
        <v>14</v>
      </c>
      <c r="H14" s="15">
        <v>3897848.6769625</v>
      </c>
      <c r="I14" s="17">
        <f>1025.36070514465*10^6</f>
        <v>1025360705.14465</v>
      </c>
      <c r="K14" s="181"/>
      <c r="L14" s="135"/>
      <c r="M14" s="135"/>
    </row>
    <row r="15" spans="1:13" ht="12.75">
      <c r="A15" s="8">
        <f t="shared" si="0"/>
        <v>12</v>
      </c>
      <c r="B15" s="134">
        <v>831319.13100000005</v>
      </c>
      <c r="C15" s="16">
        <v>218685239</v>
      </c>
      <c r="D15" s="3" t="s">
        <v>50</v>
      </c>
      <c r="E15" s="15"/>
      <c r="F15" s="16"/>
      <c r="G15" s="3"/>
      <c r="H15" s="15">
        <v>3135426.6531000002</v>
      </c>
      <c r="I15" s="17">
        <v>824799409</v>
      </c>
      <c r="K15" s="181"/>
      <c r="L15" s="135"/>
      <c r="M15" s="135"/>
    </row>
    <row r="16" spans="1:13" ht="12.75">
      <c r="A16" s="8">
        <f t="shared" si="0"/>
        <v>13</v>
      </c>
      <c r="B16" s="134">
        <f>237114211/1000</f>
        <v>237114.21100000001</v>
      </c>
      <c r="C16" s="16">
        <f>62.374816*10^6</f>
        <v>62374816</v>
      </c>
      <c r="D16" s="3" t="s">
        <v>50</v>
      </c>
      <c r="E16" s="15"/>
      <c r="F16" s="16"/>
      <c r="G16" s="3"/>
      <c r="H16" s="15">
        <v>2902569.0246867309</v>
      </c>
      <c r="I16" s="17">
        <f>763.544321121024*10^6</f>
        <v>763544321.12102401</v>
      </c>
      <c r="K16" s="181"/>
      <c r="L16" s="135"/>
      <c r="M16" s="135"/>
    </row>
    <row r="17" spans="1:13" ht="12.75">
      <c r="A17" s="18">
        <f t="shared" si="0"/>
        <v>14</v>
      </c>
      <c r="B17" s="134">
        <f>138003206/1000</f>
        <v>138003.20600000001</v>
      </c>
      <c r="C17" s="16">
        <f>36.302863*10^6</f>
        <v>36302863</v>
      </c>
      <c r="D17" s="3" t="s">
        <v>50</v>
      </c>
      <c r="E17" s="15"/>
      <c r="F17" s="16"/>
      <c r="G17" s="3"/>
      <c r="H17" s="15">
        <v>2757282.1274987385</v>
      </c>
      <c r="I17" s="17">
        <f>725.325424571903*10^6</f>
        <v>725325424.57190299</v>
      </c>
      <c r="K17" s="181"/>
      <c r="L17" s="135"/>
      <c r="M17" s="135"/>
    </row>
    <row r="18" spans="1:13" ht="12.75">
      <c r="A18" s="18">
        <f t="shared" si="0"/>
        <v>15</v>
      </c>
      <c r="B18" s="134">
        <f>238024713/1000</f>
        <v>238024.71299999999</v>
      </c>
      <c r="C18" s="16">
        <f>62.614331*10^6</f>
        <v>62614331</v>
      </c>
      <c r="D18" s="3" t="s">
        <v>50</v>
      </c>
      <c r="E18" s="15"/>
      <c r="F18" s="16"/>
      <c r="G18" s="3"/>
      <c r="H18" s="15">
        <v>2514980.0003800723</v>
      </c>
      <c r="I18" s="17">
        <f>661.585885017983*10^6</f>
        <v>661585885.01798296</v>
      </c>
      <c r="K18" s="181"/>
      <c r="L18" s="135"/>
      <c r="M18" s="135"/>
    </row>
    <row r="19" spans="1:13" ht="12.75">
      <c r="A19" s="8">
        <f t="shared" si="0"/>
        <v>16</v>
      </c>
      <c r="B19" s="134">
        <f>396298275/1000</f>
        <v>396298.27500000002</v>
      </c>
      <c r="C19" s="16">
        <f>104.249475*10^6</f>
        <v>104249475</v>
      </c>
      <c r="D19" s="3" t="s">
        <v>50</v>
      </c>
      <c r="E19" s="15"/>
      <c r="F19" s="16"/>
      <c r="G19" s="3"/>
      <c r="H19" s="15">
        <v>2112123.6023500003</v>
      </c>
      <c r="I19" s="17">
        <f>555.611242442056*10^6</f>
        <v>555611242.44205594</v>
      </c>
      <c r="K19" s="181"/>
      <c r="L19" s="135"/>
      <c r="M19" s="135"/>
    </row>
    <row r="20" spans="1:13" ht="12.75">
      <c r="A20" s="8">
        <f t="shared" si="0"/>
        <v>17</v>
      </c>
      <c r="B20" s="134">
        <f>237615026/1000</f>
        <v>237615.02600000001</v>
      </c>
      <c r="C20" s="16">
        <f>62.50656*10^6</f>
        <v>62506560</v>
      </c>
      <c r="D20" s="3" t="s">
        <v>50</v>
      </c>
      <c r="E20" s="15"/>
      <c r="F20" s="16"/>
      <c r="G20" s="3"/>
      <c r="H20" s="15">
        <v>1870396.2534296873</v>
      </c>
      <c r="I20" s="17">
        <f>492.022902954534*10^6</f>
        <v>492022902.95453399</v>
      </c>
      <c r="K20" s="181"/>
      <c r="L20" s="135"/>
      <c r="M20" s="135"/>
    </row>
    <row r="21" spans="1:13" ht="12.75">
      <c r="A21" s="8">
        <f t="shared" si="0"/>
        <v>18</v>
      </c>
      <c r="B21" s="134">
        <f>237923406/1000</f>
        <v>237923.40599999999</v>
      </c>
      <c r="C21" s="16">
        <f>62.587681*10^6</f>
        <v>62587681</v>
      </c>
      <c r="D21" s="3" t="s">
        <v>50</v>
      </c>
      <c r="E21" s="15"/>
      <c r="F21" s="16"/>
      <c r="G21" s="3"/>
      <c r="H21" s="15">
        <v>1633379.1154295893</v>
      </c>
      <c r="I21" s="17">
        <f>429.673622648318*10^6</f>
        <v>429673622.64831799</v>
      </c>
      <c r="K21" s="181"/>
      <c r="L21" s="135"/>
      <c r="M21" s="135"/>
    </row>
    <row r="22" spans="1:13" ht="12.75">
      <c r="A22" s="8">
        <f t="shared" si="0"/>
        <v>19</v>
      </c>
      <c r="B22" s="134">
        <f>356623560/1000</f>
        <v>356623.56</v>
      </c>
      <c r="C22" s="16">
        <f>93.81272*10^6</f>
        <v>93812720</v>
      </c>
      <c r="D22" s="3" t="s">
        <v>50</v>
      </c>
      <c r="E22" s="15"/>
      <c r="F22" s="16"/>
      <c r="G22" s="3"/>
      <c r="H22" s="15">
        <v>1264953.9556</v>
      </c>
      <c r="I22" s="17">
        <f>332.75639651057*10^6</f>
        <v>332756396.51057005</v>
      </c>
      <c r="K22" s="181"/>
      <c r="L22" s="135"/>
      <c r="M22" s="135"/>
    </row>
    <row r="23" spans="1:13" ht="12.75">
      <c r="A23" s="8">
        <f t="shared" si="0"/>
        <v>20</v>
      </c>
      <c r="B23" s="134">
        <f>634374735/1000</f>
        <v>634374.73499999999</v>
      </c>
      <c r="C23" s="16">
        <f>166.877419*10^6</f>
        <v>166877419</v>
      </c>
      <c r="D23" s="3" t="s">
        <v>50</v>
      </c>
      <c r="E23" s="15">
        <v>3507731.952</v>
      </c>
      <c r="F23" s="16">
        <f>(E23/3.6)*1000</f>
        <v>974369986.66666675</v>
      </c>
      <c r="G23" s="3" t="s">
        <v>14</v>
      </c>
      <c r="H23" s="15">
        <v>2392489.84375</v>
      </c>
      <c r="I23" s="17">
        <f>629.363855949024*10^6</f>
        <v>629363855.94902396</v>
      </c>
      <c r="K23" s="181"/>
      <c r="L23" s="135"/>
      <c r="M23" s="135"/>
    </row>
    <row r="24" spans="1:13" ht="12.75">
      <c r="A24" s="18">
        <f t="shared" si="0"/>
        <v>21</v>
      </c>
      <c r="B24" s="134">
        <f>973589402/1000</f>
        <v>973589.402</v>
      </c>
      <c r="C24" s="16">
        <f>256.110588*10^6</f>
        <v>256110588</v>
      </c>
      <c r="D24" s="3" t="s">
        <v>50</v>
      </c>
      <c r="H24" s="15">
        <v>3304124.7160625001</v>
      </c>
      <c r="I24" s="17">
        <f>869.1768022631*10^6</f>
        <v>869176802.26309991</v>
      </c>
      <c r="K24" s="181"/>
      <c r="L24" s="135"/>
      <c r="M24" s="135"/>
    </row>
    <row r="25" spans="1:13" ht="12.75">
      <c r="A25" s="18">
        <f t="shared" si="0"/>
        <v>22</v>
      </c>
      <c r="B25" s="134">
        <f>972548688/1000</f>
        <v>972548.68799999997</v>
      </c>
      <c r="C25" s="16">
        <f>255.83682*10^6</f>
        <v>255836820</v>
      </c>
      <c r="D25" s="3" t="s">
        <v>50</v>
      </c>
      <c r="E25" s="15">
        <v>3394920.37</v>
      </c>
      <c r="F25" s="16">
        <f>(E25/3.6)*1000</f>
        <v>943033436.11111104</v>
      </c>
      <c r="G25" s="3" t="s">
        <v>14</v>
      </c>
      <c r="H25" s="15">
        <v>5604375.8074000003</v>
      </c>
      <c r="I25" s="17">
        <f>1474.27650635463*10^6</f>
        <v>1474276506.35463</v>
      </c>
      <c r="K25" s="181"/>
      <c r="L25" s="135"/>
      <c r="M25" s="135"/>
    </row>
    <row r="26" spans="1:13" ht="12.75">
      <c r="A26" s="8">
        <f t="shared" si="0"/>
        <v>23</v>
      </c>
      <c r="B26" s="134">
        <f>972903215/1000</f>
        <v>972903.21499999997</v>
      </c>
      <c r="C26" s="16">
        <f>255.930081*10^6</f>
        <v>255930081</v>
      </c>
      <c r="D26" s="3" t="s">
        <v>50</v>
      </c>
      <c r="E26" s="15"/>
      <c r="F26" s="16"/>
      <c r="G26" s="3"/>
      <c r="H26" s="15">
        <v>4610584.1826999998</v>
      </c>
      <c r="I26" s="17">
        <f>1212.85156005237*10^6</f>
        <v>1212851560.0523698</v>
      </c>
      <c r="K26" s="181"/>
      <c r="L26" s="135"/>
      <c r="M26" s="135"/>
    </row>
    <row r="27" spans="1:13" ht="12.75">
      <c r="A27" s="8">
        <f t="shared" si="0"/>
        <v>24</v>
      </c>
      <c r="B27" s="134">
        <f>850533889/1000</f>
        <v>850533.88899999997</v>
      </c>
      <c r="C27" s="16">
        <f>223.739837*10^6</f>
        <v>223739837</v>
      </c>
      <c r="D27" s="3" t="s">
        <v>50</v>
      </c>
      <c r="H27" s="15">
        <v>3751592.238304303</v>
      </c>
      <c r="I27" s="17">
        <f>986.886762849032*10^6</f>
        <v>986886762.84903204</v>
      </c>
      <c r="K27" s="181"/>
      <c r="L27" s="135"/>
      <c r="M27" s="135"/>
    </row>
    <row r="28" spans="1:13" ht="12.75">
      <c r="A28" s="8">
        <f t="shared" si="0"/>
        <v>25</v>
      </c>
      <c r="B28" s="134">
        <f>850911927/1000</f>
        <v>850911.92700000003</v>
      </c>
      <c r="C28" s="16">
        <f>223.839283*10^6</f>
        <v>223839283</v>
      </c>
      <c r="D28" s="3" t="s">
        <v>50</v>
      </c>
      <c r="E28" s="15">
        <v>3385469.227</v>
      </c>
      <c r="F28" s="16">
        <f>(E28/3.6)*1000</f>
        <v>940408118.61111104</v>
      </c>
      <c r="G28" s="3" t="s">
        <v>14</v>
      </c>
      <c r="H28" s="15">
        <v>4167161.5467499997</v>
      </c>
      <c r="I28" s="17">
        <f>1096.20563960861*10^6</f>
        <v>1096205639.6086099</v>
      </c>
      <c r="K28" s="181"/>
      <c r="L28" s="135"/>
      <c r="M28" s="135"/>
    </row>
    <row r="29" spans="1:13" ht="12.75">
      <c r="A29" s="8">
        <f t="shared" si="0"/>
        <v>26</v>
      </c>
      <c r="B29" s="134">
        <f>850510426/1000</f>
        <v>850510.42599999998</v>
      </c>
      <c r="C29" s="16">
        <f>223.733665*10^6</f>
        <v>223733665</v>
      </c>
      <c r="D29" s="3" t="s">
        <v>50</v>
      </c>
      <c r="E29" s="15"/>
      <c r="F29" s="16"/>
      <c r="G29" s="3"/>
      <c r="H29" s="15">
        <v>5447942.4769908171</v>
      </c>
      <c r="I29" s="17">
        <f>1433.12545015163*10^6</f>
        <v>1433125450.1516302</v>
      </c>
      <c r="K29" s="181"/>
      <c r="L29" s="135"/>
      <c r="M29" s="135"/>
    </row>
    <row r="30" spans="1:13" ht="12.75">
      <c r="A30" s="8">
        <f t="shared" si="0"/>
        <v>27</v>
      </c>
      <c r="B30" s="134">
        <f>850591488/1000</f>
        <v>850591.48800000001</v>
      </c>
      <c r="C30" s="16">
        <f>223.754989*10^6</f>
        <v>223754989</v>
      </c>
      <c r="D30" s="3" t="s">
        <v>50</v>
      </c>
      <c r="E30" s="15"/>
      <c r="F30" s="16"/>
      <c r="G30" s="3"/>
      <c r="H30" s="15">
        <v>4582565.5720296875</v>
      </c>
      <c r="I30" s="17">
        <f>1205.48103729096*10^6</f>
        <v>1205481037.2909601</v>
      </c>
      <c r="K30" s="181"/>
      <c r="L30" s="135"/>
      <c r="M30" s="135"/>
    </row>
    <row r="31" spans="1:13" ht="12.75">
      <c r="A31" s="18">
        <f t="shared" si="0"/>
        <v>28</v>
      </c>
      <c r="B31" s="134">
        <f>588975425/1000</f>
        <v>588975.42500000005</v>
      </c>
      <c r="C31" s="16">
        <f>154.934762*10^6</f>
        <v>154934762</v>
      </c>
      <c r="D31" s="3" t="s">
        <v>50</v>
      </c>
      <c r="E31" s="15"/>
      <c r="F31" s="16"/>
      <c r="G31" s="3"/>
      <c r="H31" s="15">
        <v>3996508.8337062504</v>
      </c>
      <c r="I31" s="17">
        <f>1051.31405948761*10^6</f>
        <v>1051314059.48761</v>
      </c>
      <c r="K31" s="181"/>
      <c r="L31" s="135"/>
      <c r="M31" s="135"/>
    </row>
    <row r="32" spans="1:13" ht="12.75">
      <c r="A32" s="18">
        <f t="shared" si="0"/>
        <v>29</v>
      </c>
      <c r="B32" s="134">
        <f>442508435/1000</f>
        <v>442508.435</v>
      </c>
      <c r="C32" s="16">
        <f>116.405432*10^6</f>
        <v>116405432</v>
      </c>
      <c r="D32" s="3" t="s">
        <v>50</v>
      </c>
      <c r="E32" s="15"/>
      <c r="F32" s="16"/>
      <c r="G32" s="3"/>
      <c r="H32" s="15">
        <v>3922792.0625816346</v>
      </c>
      <c r="I32" s="17">
        <f>1031.92226501697*10^6</f>
        <v>1031922265.0169699</v>
      </c>
      <c r="K32" s="181"/>
      <c r="L32" s="135"/>
      <c r="M32" s="135"/>
    </row>
    <row r="33" spans="1:13" ht="12.75">
      <c r="A33" s="8">
        <f t="shared" si="0"/>
        <v>30</v>
      </c>
      <c r="B33" s="134">
        <f>819011158/1000</f>
        <v>819011.15800000005</v>
      </c>
      <c r="C33" s="16">
        <f>215.447527*10^6</f>
        <v>215447527</v>
      </c>
      <c r="D33" s="3" t="s">
        <v>50</v>
      </c>
      <c r="E33" s="15"/>
      <c r="F33" s="16"/>
      <c r="G33" s="3"/>
      <c r="H33" s="15">
        <v>2710699.7021062505</v>
      </c>
      <c r="I33" s="17">
        <f>713.071539799492*10^6</f>
        <v>713071539.799492</v>
      </c>
      <c r="K33" s="181"/>
      <c r="L33" s="135"/>
      <c r="M33" s="135"/>
    </row>
    <row r="34" spans="1:13" ht="12.75">
      <c r="A34" s="8">
        <f t="shared" si="0"/>
        <v>31</v>
      </c>
      <c r="B34" s="134">
        <f>848758513/1000</f>
        <v>848758.51300000004</v>
      </c>
      <c r="C34" s="16">
        <f>223.27281*10^6</f>
        <v>223272810</v>
      </c>
      <c r="D34" s="3" t="s">
        <v>50</v>
      </c>
      <c r="E34" s="15">
        <v>3321274.6830000002</v>
      </c>
      <c r="F34" s="16">
        <f>(E34/3.6)*1000</f>
        <v>922576300.83333337</v>
      </c>
      <c r="G34" s="3" t="s">
        <v>14</v>
      </c>
      <c r="H34" s="15">
        <v>3419272.7070091828</v>
      </c>
      <c r="I34" s="17">
        <f>899.467415105743*10^6</f>
        <v>899467415.10574305</v>
      </c>
      <c r="K34" s="181"/>
      <c r="L34" s="135"/>
      <c r="M34" s="135"/>
    </row>
    <row r="35" spans="1:13" ht="12.75">
      <c r="A35" s="108"/>
      <c r="B35" s="25"/>
      <c r="C35" s="25"/>
      <c r="D35" s="26"/>
      <c r="E35" s="25"/>
      <c r="F35" s="25"/>
      <c r="G35" s="26"/>
      <c r="H35" s="25"/>
      <c r="I35" s="25"/>
    </row>
    <row r="36" spans="1:13" ht="24.6" customHeight="1">
      <c r="A36" s="108"/>
      <c r="B36" s="163" t="s">
        <v>17</v>
      </c>
      <c r="C36" s="163"/>
      <c r="D36" s="163"/>
      <c r="E36" s="164"/>
      <c r="F36" s="164"/>
      <c r="G36" s="164"/>
      <c r="H36" s="164"/>
      <c r="I36" s="141"/>
    </row>
    <row r="37" spans="1:13" ht="24.6" customHeight="1">
      <c r="A37" s="7" t="s">
        <v>5</v>
      </c>
      <c r="B37" s="165" t="s">
        <v>18</v>
      </c>
      <c r="C37" s="165"/>
      <c r="D37" s="165"/>
      <c r="E37" s="166"/>
      <c r="F37" s="166"/>
      <c r="G37" s="166"/>
      <c r="H37" s="166"/>
      <c r="I37" s="141"/>
      <c r="J37" s="138"/>
    </row>
    <row r="38" spans="1:13" ht="24.6" customHeight="1">
      <c r="A38" s="7" t="s">
        <v>6</v>
      </c>
      <c r="B38" s="165" t="s">
        <v>0</v>
      </c>
      <c r="C38" s="165"/>
      <c r="D38" s="165"/>
      <c r="E38" s="165"/>
      <c r="F38" s="165"/>
      <c r="G38" s="165"/>
      <c r="H38" s="165"/>
      <c r="I38" s="137"/>
      <c r="J38" s="138"/>
    </row>
    <row r="39" spans="1:13" ht="24.6" customHeight="1">
      <c r="A39" s="7" t="s">
        <v>7</v>
      </c>
      <c r="B39" s="165" t="s">
        <v>41</v>
      </c>
      <c r="C39" s="165"/>
      <c r="D39" s="165"/>
      <c r="E39" s="166"/>
      <c r="F39" s="166"/>
      <c r="G39" s="166"/>
      <c r="H39" s="166"/>
      <c r="I39" s="137"/>
      <c r="J39" s="138"/>
    </row>
    <row r="40" spans="1:13" ht="24.6" customHeight="1">
      <c r="A40" s="28" t="s">
        <v>19</v>
      </c>
      <c r="B40" s="149" t="s">
        <v>37</v>
      </c>
      <c r="C40" s="167"/>
      <c r="D40" s="167"/>
      <c r="E40" s="167"/>
      <c r="F40" s="167"/>
      <c r="G40" s="167"/>
      <c r="H40" s="167"/>
      <c r="I40" s="139"/>
      <c r="J40" s="137"/>
    </row>
  </sheetData>
  <mergeCells count="12">
    <mergeCell ref="B36:H36"/>
    <mergeCell ref="B37:H37"/>
    <mergeCell ref="B38:H38"/>
    <mergeCell ref="B39:H39"/>
    <mergeCell ref="B40:H40"/>
    <mergeCell ref="A1:I1"/>
    <mergeCell ref="A2:A3"/>
    <mergeCell ref="B2:C2"/>
    <mergeCell ref="D2:D3"/>
    <mergeCell ref="E2:F2"/>
    <mergeCell ref="G2:G3"/>
    <mergeCell ref="H2:I2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sqref="A1:I1"/>
    </sheetView>
  </sheetViews>
  <sheetFormatPr defaultRowHeight="15.95" customHeight="1"/>
  <cols>
    <col min="1" max="1" width="11.28515625" customWidth="1"/>
    <col min="2" max="2" width="17.28515625" customWidth="1"/>
    <col min="3" max="3" width="15.28515625" customWidth="1"/>
    <col min="4" max="4" width="19.5703125" customWidth="1"/>
    <col min="5" max="5" width="17" customWidth="1"/>
    <col min="6" max="6" width="14.7109375" customWidth="1"/>
    <col min="7" max="7" width="21.7109375" customWidth="1"/>
    <col min="8" max="8" width="17.140625" customWidth="1"/>
    <col min="9" max="9" width="16.140625" customWidth="1"/>
    <col min="11" max="11" width="17.7109375" bestFit="1" customWidth="1"/>
    <col min="12" max="12" width="13.42578125" bestFit="1" customWidth="1"/>
  </cols>
  <sheetData>
    <row r="1" spans="1:13" ht="58.9" customHeight="1" thickBot="1">
      <c r="A1" s="151" t="s">
        <v>52</v>
      </c>
      <c r="B1" s="151"/>
      <c r="C1" s="151"/>
      <c r="D1" s="151"/>
      <c r="E1" s="151"/>
      <c r="F1" s="151"/>
      <c r="G1" s="151"/>
      <c r="H1" s="151"/>
      <c r="I1" s="151"/>
    </row>
    <row r="2" spans="1:13" ht="12.75">
      <c r="A2" s="179" t="s">
        <v>11</v>
      </c>
      <c r="B2" s="169" t="s">
        <v>2</v>
      </c>
      <c r="C2" s="170"/>
      <c r="D2" s="171" t="s">
        <v>50</v>
      </c>
      <c r="E2" s="173" t="s">
        <v>8</v>
      </c>
      <c r="F2" s="174"/>
      <c r="G2" s="175" t="s">
        <v>9</v>
      </c>
      <c r="H2" s="177" t="s">
        <v>10</v>
      </c>
      <c r="I2" s="178"/>
    </row>
    <row r="3" spans="1:13" ht="12.75">
      <c r="A3" s="180"/>
      <c r="B3" s="5" t="s">
        <v>1</v>
      </c>
      <c r="C3" s="10" t="s">
        <v>29</v>
      </c>
      <c r="D3" s="172"/>
      <c r="E3" s="2" t="s">
        <v>1</v>
      </c>
      <c r="F3" s="11" t="s">
        <v>29</v>
      </c>
      <c r="G3" s="176"/>
      <c r="H3" s="12" t="s">
        <v>1</v>
      </c>
      <c r="I3" s="13" t="s">
        <v>29</v>
      </c>
    </row>
    <row r="4" spans="1:13" ht="12.75">
      <c r="A4" s="8">
        <v>1</v>
      </c>
      <c r="B4" s="134">
        <f>782888107/1000</f>
        <v>782888.10699999996</v>
      </c>
      <c r="C4" s="16">
        <f>205.945066*10^6</f>
        <v>205945066</v>
      </c>
      <c r="D4" s="3" t="s">
        <v>50</v>
      </c>
      <c r="E4" s="15"/>
      <c r="F4" s="16"/>
      <c r="G4" s="3"/>
      <c r="H4" s="15">
        <v>4400189.7312398562</v>
      </c>
      <c r="I4" s="17">
        <f>1157.50559334445*10^6</f>
        <v>1157505593.34445</v>
      </c>
      <c r="K4" s="181"/>
      <c r="L4" s="135"/>
      <c r="M4" s="135"/>
    </row>
    <row r="5" spans="1:13" ht="12.75">
      <c r="A5" s="8">
        <f>A4+1</f>
        <v>2</v>
      </c>
      <c r="B5" s="134">
        <f>672405780/1000</f>
        <v>672405.78</v>
      </c>
      <c r="C5" s="16">
        <f>176.881793*10^6</f>
        <v>176881793</v>
      </c>
      <c r="D5" s="3" t="s">
        <v>50</v>
      </c>
      <c r="E5" s="15"/>
      <c r="F5" s="16"/>
      <c r="G5" s="3"/>
      <c r="H5" s="15">
        <v>3726621.0659500002</v>
      </c>
      <c r="I5" s="17">
        <f>980.317893450683*10^6</f>
        <v>980317893.450683</v>
      </c>
      <c r="K5" s="181"/>
      <c r="L5" s="135"/>
      <c r="M5" s="135"/>
    </row>
    <row r="6" spans="1:13" ht="12.75">
      <c r="A6" s="8">
        <f>A5+1</f>
        <v>3</v>
      </c>
      <c r="B6" s="134">
        <f>533453442/1000</f>
        <v>533453.44200000004</v>
      </c>
      <c r="C6" s="16">
        <f>140.329254*10^6</f>
        <v>140329254</v>
      </c>
      <c r="D6" s="3" t="s">
        <v>50</v>
      </c>
      <c r="E6" s="15"/>
      <c r="F6" s="16"/>
      <c r="G6" s="3"/>
      <c r="H6" s="15">
        <v>3191337.8789816345</v>
      </c>
      <c r="I6" s="17">
        <f>839.507310093283*10^6</f>
        <v>839507310.09328294</v>
      </c>
      <c r="K6" s="181"/>
      <c r="L6" s="135"/>
      <c r="M6" s="135"/>
    </row>
    <row r="7" spans="1:13" ht="12.75">
      <c r="A7" s="18">
        <f t="shared" ref="A7:A31" si="0">A6+1</f>
        <v>4</v>
      </c>
      <c r="B7" s="134">
        <f>395011964/1000</f>
        <v>395011.96399999998</v>
      </c>
      <c r="C7" s="16">
        <f>103.911101*10^6</f>
        <v>103911101</v>
      </c>
      <c r="D7" s="3" t="s">
        <v>50</v>
      </c>
      <c r="E7" s="15"/>
      <c r="F7" s="16"/>
      <c r="G7" s="3"/>
      <c r="H7" s="15">
        <v>2790917.1320125</v>
      </c>
      <c r="I7" s="17">
        <f>734.173385281514*10^6</f>
        <v>734173385.28151405</v>
      </c>
      <c r="K7" s="181"/>
      <c r="L7" s="135"/>
      <c r="M7" s="135"/>
    </row>
    <row r="8" spans="1:13" ht="12.75">
      <c r="A8" s="18">
        <f t="shared" si="0"/>
        <v>5</v>
      </c>
      <c r="B8" s="134">
        <f>395365940/1000</f>
        <v>395365.94</v>
      </c>
      <c r="C8" s="16">
        <f>104.004217*10^6</f>
        <v>104004217</v>
      </c>
      <c r="D8" s="3" t="s">
        <v>50</v>
      </c>
      <c r="E8" s="15"/>
      <c r="F8" s="16"/>
      <c r="G8" s="3"/>
      <c r="H8" s="15">
        <v>2386174.8291041106</v>
      </c>
      <c r="I8" s="17">
        <f>627.702640133084*10^6</f>
        <v>627702640.13308394</v>
      </c>
      <c r="K8" s="181"/>
      <c r="L8" s="135"/>
      <c r="M8" s="135"/>
    </row>
    <row r="9" spans="1:13" ht="12.75">
      <c r="A9" s="8">
        <f t="shared" si="0"/>
        <v>6</v>
      </c>
      <c r="B9" s="134">
        <f>850614093/1000</f>
        <v>850614.09299999999</v>
      </c>
      <c r="C9" s="16">
        <f>223.760935*10^6</f>
        <v>223760935</v>
      </c>
      <c r="D9" s="3" t="s">
        <v>50</v>
      </c>
      <c r="E9" s="15"/>
      <c r="F9" s="16"/>
      <c r="G9" s="3"/>
      <c r="H9" s="15">
        <v>1513186.5145775385</v>
      </c>
      <c r="I9" s="17">
        <f>398.055984259425*10^6</f>
        <v>398055984.25942498</v>
      </c>
      <c r="K9" s="181"/>
      <c r="L9" s="135"/>
      <c r="M9" s="135"/>
    </row>
    <row r="10" spans="1:13" ht="12.75">
      <c r="A10" s="8">
        <f t="shared" si="0"/>
        <v>7</v>
      </c>
      <c r="B10" s="134">
        <f>732084275/1000</f>
        <v>732084.27500000002</v>
      </c>
      <c r="C10" s="16">
        <f>192.580706*10^6</f>
        <v>192580706</v>
      </c>
      <c r="D10" s="3" t="s">
        <v>50</v>
      </c>
      <c r="E10" s="15">
        <v>3452666.682</v>
      </c>
      <c r="F10" s="16">
        <f>(E10/3.6)*1000</f>
        <v>959074078.33333337</v>
      </c>
      <c r="G10" s="3" t="s">
        <v>14</v>
      </c>
      <c r="H10" s="15">
        <v>3767647.2222449281</v>
      </c>
      <c r="I10" s="17">
        <f>991.110156576896*10^6</f>
        <v>991110156.57689595</v>
      </c>
      <c r="K10" s="181"/>
      <c r="L10" s="135"/>
      <c r="M10" s="135"/>
    </row>
    <row r="11" spans="1:13" ht="12.75">
      <c r="A11" s="8">
        <f t="shared" si="0"/>
        <v>8</v>
      </c>
      <c r="B11" s="134">
        <f>849675626/1000</f>
        <v>849675.62600000005</v>
      </c>
      <c r="C11" s="16">
        <f>223.514064*10^6</f>
        <v>223514064</v>
      </c>
      <c r="D11" s="3" t="s">
        <v>50</v>
      </c>
      <c r="E11" s="15"/>
      <c r="F11" s="16"/>
      <c r="G11" s="3"/>
      <c r="H11" s="15">
        <v>3389516.2276875</v>
      </c>
      <c r="I11" s="17">
        <f>891.639731901869*10^6</f>
        <v>891639731.90186906</v>
      </c>
      <c r="K11" s="181"/>
      <c r="L11" s="135"/>
      <c r="M11" s="135"/>
    </row>
    <row r="12" spans="1:13" ht="12.75">
      <c r="A12" s="8">
        <f t="shared" si="0"/>
        <v>9</v>
      </c>
      <c r="B12" s="134">
        <f>771672148/1000</f>
        <v>771672.14800000004</v>
      </c>
      <c r="C12" s="16">
        <f>202.994617*10^6</f>
        <v>202994617</v>
      </c>
      <c r="D12" s="3" t="s">
        <v>50</v>
      </c>
      <c r="E12" s="15"/>
      <c r="F12" s="16"/>
      <c r="G12" s="3"/>
      <c r="H12" s="15">
        <v>2605585.4772704206</v>
      </c>
      <c r="I12" s="17">
        <f>685.420390503879*10^6</f>
        <v>685420390.50387907</v>
      </c>
      <c r="K12" s="181"/>
      <c r="L12" s="135"/>
      <c r="M12" s="135"/>
    </row>
    <row r="13" spans="1:13" ht="12.75">
      <c r="A13" s="8">
        <f t="shared" si="0"/>
        <v>10</v>
      </c>
      <c r="B13" s="134">
        <f>632975685/1000</f>
        <v>632975.68500000006</v>
      </c>
      <c r="C13" s="16">
        <f>166.509387*10^6</f>
        <v>166509387</v>
      </c>
      <c r="D13" s="3" t="s">
        <v>50</v>
      </c>
      <c r="E13" s="15">
        <v>3487177.577</v>
      </c>
      <c r="F13" s="16">
        <f>(E13/3.6)*1000</f>
        <v>968660438.05555558</v>
      </c>
      <c r="G13" s="3" t="s">
        <v>14</v>
      </c>
      <c r="H13" s="15">
        <v>3197226.5</v>
      </c>
      <c r="I13" s="17">
        <f>841.056359607546*10^6</f>
        <v>841056359.60754597</v>
      </c>
      <c r="K13" s="181"/>
      <c r="L13" s="135"/>
      <c r="M13" s="135"/>
    </row>
    <row r="14" spans="1:13" ht="12.75">
      <c r="A14" s="18">
        <f t="shared" si="0"/>
        <v>11</v>
      </c>
      <c r="B14" s="134">
        <f>395198660/1000</f>
        <v>395198.66</v>
      </c>
      <c r="C14" s="16">
        <f>103.960212*10^6</f>
        <v>103960212</v>
      </c>
      <c r="D14" s="3" t="s">
        <v>50</v>
      </c>
      <c r="E14" s="15"/>
      <c r="F14" s="16"/>
      <c r="G14" s="3"/>
      <c r="H14" s="15">
        <v>5087678.7</v>
      </c>
      <c r="I14" s="17">
        <f>1338.35514195658*10^6</f>
        <v>1338355141.9565799</v>
      </c>
      <c r="K14" s="181"/>
      <c r="L14" s="135"/>
      <c r="M14" s="135"/>
    </row>
    <row r="15" spans="1:13" ht="12.75">
      <c r="A15" s="18">
        <f t="shared" si="0"/>
        <v>12</v>
      </c>
      <c r="B15" s="134">
        <f>375327755/1000</f>
        <v>375327.755</v>
      </c>
      <c r="C15" s="16">
        <f>98.73301*10^6</f>
        <v>98733010</v>
      </c>
      <c r="D15" s="3" t="s">
        <v>50</v>
      </c>
      <c r="E15" s="15"/>
      <c r="F15" s="16"/>
      <c r="G15" s="3"/>
      <c r="H15" s="15">
        <v>4700126.6000000006</v>
      </c>
      <c r="I15" s="17">
        <f>1236.40641909186*10^6</f>
        <v>1236406419.0918601</v>
      </c>
      <c r="K15" s="181"/>
      <c r="L15" s="135"/>
      <c r="M15" s="135"/>
    </row>
    <row r="16" spans="1:13" ht="12.75">
      <c r="A16" s="8">
        <f t="shared" si="0"/>
        <v>13</v>
      </c>
      <c r="B16" s="134">
        <f>751557620/1000</f>
        <v>751557.62</v>
      </c>
      <c r="C16" s="16">
        <f>197.703327*10^6</f>
        <v>197703327</v>
      </c>
      <c r="D16" s="3" t="s">
        <v>50</v>
      </c>
      <c r="E16" s="15"/>
      <c r="F16" s="16"/>
      <c r="G16" s="3"/>
      <c r="H16" s="15">
        <v>3937754.7403816348</v>
      </c>
      <c r="I16" s="17">
        <f>1035.85831875619*10^6</f>
        <v>1035858318.7561901</v>
      </c>
      <c r="K16" s="181"/>
      <c r="L16" s="135"/>
      <c r="M16" s="135"/>
    </row>
    <row r="17" spans="1:13" ht="12.75">
      <c r="A17" s="8">
        <f t="shared" si="0"/>
        <v>14</v>
      </c>
      <c r="B17" s="134">
        <f>752136309/1000</f>
        <v>752136.30900000001</v>
      </c>
      <c r="C17" s="16">
        <f>197.855556*10^6</f>
        <v>197855556</v>
      </c>
      <c r="D17" s="3" t="s">
        <v>50</v>
      </c>
      <c r="E17" s="15"/>
      <c r="F17" s="16"/>
      <c r="G17" s="3"/>
      <c r="H17" s="15">
        <v>3173630.6622329205</v>
      </c>
      <c r="I17" s="17">
        <f>834.849283126017*10^6</f>
        <v>834849283.12601697</v>
      </c>
      <c r="K17" s="181"/>
      <c r="L17" s="135"/>
      <c r="M17" s="135"/>
    </row>
    <row r="18" spans="1:13" ht="12.75">
      <c r="A18" s="8">
        <f t="shared" si="0"/>
        <v>15</v>
      </c>
      <c r="B18" s="134">
        <f>831357287/1000</f>
        <v>831357.28700000001</v>
      </c>
      <c r="C18" s="16">
        <f>218.695276*10^6</f>
        <v>218695276</v>
      </c>
      <c r="D18" s="3" t="s">
        <v>50</v>
      </c>
      <c r="E18" s="15"/>
      <c r="F18" s="16"/>
      <c r="G18" s="3"/>
      <c r="H18" s="15">
        <v>2330922.1039500004</v>
      </c>
      <c r="I18" s="17">
        <f>613.167962694213*10^6</f>
        <v>613167962.69421303</v>
      </c>
      <c r="K18" s="181"/>
      <c r="L18" s="135"/>
      <c r="M18" s="135"/>
    </row>
    <row r="19" spans="1:13" ht="12.75">
      <c r="A19" s="8">
        <f t="shared" si="0"/>
        <v>16</v>
      </c>
      <c r="B19" s="134">
        <f>791512296/1000</f>
        <v>791512.29599999997</v>
      </c>
      <c r="C19" s="16">
        <f>208.213728*10^6</f>
        <v>208213728</v>
      </c>
      <c r="D19" s="3" t="s">
        <v>50</v>
      </c>
      <c r="E19" s="15"/>
      <c r="F19" s="16"/>
      <c r="G19" s="3"/>
      <c r="H19" s="15">
        <v>1525880.9803500001</v>
      </c>
      <c r="I19" s="17">
        <f>401.395366430112*10^6</f>
        <v>401395366.430112</v>
      </c>
      <c r="K19" s="181"/>
      <c r="L19" s="135"/>
      <c r="M19" s="135"/>
    </row>
    <row r="20" spans="1:13" ht="12.75">
      <c r="A20" s="8">
        <f t="shared" si="0"/>
        <v>17</v>
      </c>
      <c r="B20" s="134">
        <f>830950739/1000</f>
        <v>830950.73899999994</v>
      </c>
      <c r="C20" s="16">
        <f>218.588331*10^6</f>
        <v>218588331</v>
      </c>
      <c r="D20" s="3" t="s">
        <v>50</v>
      </c>
      <c r="E20" s="15">
        <v>3378619.64</v>
      </c>
      <c r="F20" s="16">
        <f>(E20/3.6)*1000</f>
        <v>938505455.55555558</v>
      </c>
      <c r="G20" s="3" t="s">
        <v>14</v>
      </c>
      <c r="H20" s="15">
        <v>1808930.0789375</v>
      </c>
      <c r="I20" s="17">
        <f>475.853727277615*10^6</f>
        <v>475853727.27761501</v>
      </c>
      <c r="K20" s="181"/>
      <c r="L20" s="135"/>
      <c r="M20" s="135"/>
    </row>
    <row r="21" spans="1:13" ht="12.75">
      <c r="A21" s="18">
        <f t="shared" si="0"/>
        <v>18</v>
      </c>
      <c r="B21" s="134">
        <f>474195395/1000</f>
        <v>474195.39500000002</v>
      </c>
      <c r="C21" s="16">
        <f>124.740944*10^6</f>
        <v>124740944</v>
      </c>
      <c r="D21" s="3" t="s">
        <v>50</v>
      </c>
      <c r="E21" s="15"/>
      <c r="F21" s="16"/>
      <c r="G21" s="3"/>
      <c r="H21" s="15">
        <v>3600986.6965125003</v>
      </c>
      <c r="I21" s="17">
        <f>947.268753703876*10^6</f>
        <v>947268753.70387602</v>
      </c>
      <c r="K21" s="181"/>
      <c r="L21" s="135"/>
      <c r="M21" s="135"/>
    </row>
    <row r="22" spans="1:13" ht="12.75">
      <c r="A22" s="18">
        <f t="shared" si="0"/>
        <v>19</v>
      </c>
      <c r="B22" s="134">
        <f>593247405/1000</f>
        <v>593247.40500000003</v>
      </c>
      <c r="C22" s="16">
        <f>156.058541*10^6</f>
        <v>156058541</v>
      </c>
      <c r="D22" s="3" t="s">
        <v>50</v>
      </c>
      <c r="E22" s="15"/>
      <c r="F22" s="16"/>
      <c r="G22" s="3"/>
      <c r="H22" s="15">
        <v>2999930.870184375</v>
      </c>
      <c r="I22" s="17">
        <f>789.156144161688*10^6</f>
        <v>789156144.16168797</v>
      </c>
      <c r="K22" s="181"/>
      <c r="L22" s="135"/>
      <c r="M22" s="135"/>
    </row>
    <row r="23" spans="1:13" ht="12.75">
      <c r="A23" s="8">
        <f t="shared" si="0"/>
        <v>20</v>
      </c>
      <c r="B23" s="134">
        <f>866075574/1000</f>
        <v>866075.57400000002</v>
      </c>
      <c r="C23" s="16">
        <f>227.828203*10^6</f>
        <v>227828203</v>
      </c>
      <c r="D23" s="3" t="s">
        <v>50</v>
      </c>
      <c r="E23" s="15"/>
      <c r="F23" s="16"/>
      <c r="G23" s="3"/>
      <c r="H23" s="15">
        <v>2118746.0676387623</v>
      </c>
      <c r="I23" s="17">
        <f>557.353335642958*10^6</f>
        <v>557353335.64295793</v>
      </c>
      <c r="K23" s="181"/>
      <c r="L23" s="135"/>
      <c r="M23" s="135"/>
    </row>
    <row r="24" spans="1:13" ht="12.75">
      <c r="A24" s="8">
        <f t="shared" si="0"/>
        <v>21</v>
      </c>
      <c r="B24" s="134">
        <f>865991765/1000</f>
        <v>865991.76500000001</v>
      </c>
      <c r="C24" s="16">
        <f>227.806157*10^6</f>
        <v>227806157</v>
      </c>
      <c r="D24" s="3" t="s">
        <v>50</v>
      </c>
      <c r="E24" s="15">
        <v>3459847.4569999999</v>
      </c>
      <c r="F24" s="16">
        <f>(E24/3.6)*1000</f>
        <v>961068738.05555546</v>
      </c>
      <c r="G24" s="3" t="s">
        <v>14</v>
      </c>
      <c r="H24" s="15">
        <v>3216556.2574625001</v>
      </c>
      <c r="I24" s="17">
        <f>846.14120906801*10^6</f>
        <v>846141209.06800997</v>
      </c>
      <c r="K24" s="181"/>
      <c r="L24" s="135"/>
      <c r="M24" s="135"/>
    </row>
    <row r="25" spans="1:13" ht="12.75">
      <c r="A25" s="8">
        <f t="shared" si="0"/>
        <v>22</v>
      </c>
      <c r="B25" s="134">
        <f>866265189/1000</f>
        <v>866265.18900000001</v>
      </c>
      <c r="C25" s="16">
        <f>227.878083*10^6</f>
        <v>227878083</v>
      </c>
      <c r="D25" s="3" t="s">
        <v>50</v>
      </c>
      <c r="E25" s="15"/>
      <c r="F25" s="16"/>
      <c r="G25" s="3"/>
      <c r="H25" s="15">
        <v>3853159.9415250006</v>
      </c>
      <c r="I25" s="17">
        <f>1013.6049708723*10^6</f>
        <v>1013604970.8723</v>
      </c>
      <c r="K25" s="181"/>
      <c r="L25" s="135"/>
      <c r="M25" s="135"/>
    </row>
    <row r="26" spans="1:13" ht="12.75">
      <c r="A26" s="8">
        <f t="shared" si="0"/>
        <v>23</v>
      </c>
      <c r="B26" s="134">
        <f>866021776/1000</f>
        <v>866021.77599999995</v>
      </c>
      <c r="C26" s="16">
        <f>227.814051*10^6</f>
        <v>227814051</v>
      </c>
      <c r="D26" s="3" t="s">
        <v>50</v>
      </c>
      <c r="E26" s="15"/>
      <c r="F26" s="16"/>
      <c r="G26" s="3"/>
      <c r="H26" s="15">
        <v>2974777.1677250005</v>
      </c>
      <c r="I26" s="17">
        <f>782.539258738921*10^6</f>
        <v>782539258.73892105</v>
      </c>
      <c r="K26" s="181"/>
      <c r="L26" s="135"/>
      <c r="M26" s="135"/>
    </row>
    <row r="27" spans="1:13" ht="12.75">
      <c r="A27" s="8">
        <f t="shared" si="0"/>
        <v>24</v>
      </c>
      <c r="B27" s="134">
        <v>865526.92200000002</v>
      </c>
      <c r="C27" s="16">
        <v>240183720.85499999</v>
      </c>
      <c r="D27" s="3" t="s">
        <v>50</v>
      </c>
      <c r="E27" s="15"/>
      <c r="F27" s="16"/>
      <c r="G27" s="3"/>
      <c r="H27" s="15">
        <v>2092715.0469250001</v>
      </c>
      <c r="I27" s="17">
        <v>550505664.53852296</v>
      </c>
      <c r="K27" s="181"/>
      <c r="L27" s="135"/>
      <c r="M27" s="135"/>
    </row>
    <row r="28" spans="1:13" ht="12.75">
      <c r="A28" s="18">
        <f t="shared" si="0"/>
        <v>25</v>
      </c>
      <c r="B28" s="134">
        <v>594157.554</v>
      </c>
      <c r="C28" s="16">
        <v>164878721.23500001</v>
      </c>
      <c r="D28" s="3" t="s">
        <v>50</v>
      </c>
      <c r="E28" s="15"/>
      <c r="F28" s="16"/>
      <c r="G28" s="3"/>
      <c r="H28" s="15">
        <v>1427915.6180939584</v>
      </c>
      <c r="I28" s="17">
        <v>375624783.41176701</v>
      </c>
      <c r="K28" s="181"/>
      <c r="L28" s="135"/>
      <c r="M28" s="135"/>
    </row>
    <row r="29" spans="1:13" ht="12.75">
      <c r="A29" s="18">
        <f t="shared" si="0"/>
        <v>26</v>
      </c>
      <c r="B29" s="134">
        <v>751864.06700000004</v>
      </c>
      <c r="C29" s="16">
        <v>208642278.5925</v>
      </c>
      <c r="D29" s="3" t="s">
        <v>50</v>
      </c>
      <c r="E29" s="15">
        <v>3316781.162</v>
      </c>
      <c r="F29" s="16">
        <v>921328101</v>
      </c>
      <c r="G29" s="3" t="s">
        <v>50</v>
      </c>
      <c r="H29" s="15">
        <v>2401476.7310235822</v>
      </c>
      <c r="I29" s="17">
        <v>631727929.52795899</v>
      </c>
      <c r="K29" s="181"/>
      <c r="L29" s="135"/>
      <c r="M29" s="135"/>
    </row>
    <row r="30" spans="1:13" ht="12.75">
      <c r="A30" s="8">
        <f t="shared" si="0"/>
        <v>27</v>
      </c>
      <c r="B30" s="134">
        <v>865487.50600000005</v>
      </c>
      <c r="C30" s="16">
        <v>240172782.91500002</v>
      </c>
      <c r="D30" s="3" t="s">
        <v>50</v>
      </c>
      <c r="E30" s="15"/>
      <c r="F30" s="16"/>
      <c r="G30" s="3"/>
      <c r="H30" s="15">
        <v>3189635</v>
      </c>
      <c r="I30" s="17">
        <v>839056892</v>
      </c>
      <c r="K30" s="181"/>
      <c r="L30" s="135"/>
      <c r="M30" s="135"/>
    </row>
    <row r="31" spans="1:13" ht="12.75">
      <c r="A31" s="8">
        <f t="shared" si="0"/>
        <v>28</v>
      </c>
      <c r="B31" s="134">
        <v>865986.18500000006</v>
      </c>
      <c r="C31" s="16">
        <v>240311166.33750001</v>
      </c>
      <c r="D31" s="3" t="s">
        <v>50</v>
      </c>
      <c r="E31" s="15"/>
      <c r="F31" s="16"/>
      <c r="G31" s="3"/>
      <c r="H31" s="15">
        <v>2427443.6402500002</v>
      </c>
      <c r="I31" s="17">
        <v>638558735.58571899</v>
      </c>
      <c r="K31" s="181"/>
      <c r="L31" s="135"/>
      <c r="M31" s="135"/>
    </row>
    <row r="32" spans="1:13" ht="12.75">
      <c r="A32" s="108"/>
      <c r="B32" s="25"/>
      <c r="C32" s="25"/>
      <c r="D32" s="26"/>
      <c r="E32" s="25"/>
      <c r="F32" s="25"/>
      <c r="G32" s="26"/>
      <c r="H32" s="25"/>
      <c r="I32" s="25"/>
    </row>
    <row r="33" spans="1:10" ht="24.6" customHeight="1">
      <c r="A33" s="108"/>
      <c r="B33" s="163" t="s">
        <v>17</v>
      </c>
      <c r="C33" s="163"/>
      <c r="D33" s="163"/>
      <c r="E33" s="164"/>
      <c r="F33" s="164"/>
      <c r="G33" s="164"/>
      <c r="H33" s="164"/>
      <c r="I33" s="142"/>
    </row>
    <row r="34" spans="1:10" ht="24.6" customHeight="1">
      <c r="A34" s="7" t="s">
        <v>5</v>
      </c>
      <c r="B34" s="165" t="s">
        <v>18</v>
      </c>
      <c r="C34" s="165"/>
      <c r="D34" s="165"/>
      <c r="E34" s="166"/>
      <c r="F34" s="166"/>
      <c r="G34" s="166"/>
      <c r="H34" s="166"/>
      <c r="I34" s="142"/>
      <c r="J34" s="138"/>
    </row>
    <row r="35" spans="1:10" ht="24.6" customHeight="1">
      <c r="A35" s="7" t="s">
        <v>6</v>
      </c>
      <c r="B35" s="165" t="s">
        <v>0</v>
      </c>
      <c r="C35" s="165"/>
      <c r="D35" s="165"/>
      <c r="E35" s="165"/>
      <c r="F35" s="165"/>
      <c r="G35" s="165"/>
      <c r="H35" s="165"/>
      <c r="I35" s="137"/>
      <c r="J35" s="138"/>
    </row>
    <row r="36" spans="1:10" ht="24.6" customHeight="1">
      <c r="A36" s="7" t="s">
        <v>7</v>
      </c>
      <c r="B36" s="165" t="s">
        <v>41</v>
      </c>
      <c r="C36" s="165"/>
      <c r="D36" s="165"/>
      <c r="E36" s="166"/>
      <c r="F36" s="166"/>
      <c r="G36" s="166"/>
      <c r="H36" s="166"/>
      <c r="I36" s="137"/>
      <c r="J36" s="138"/>
    </row>
    <row r="37" spans="1:10" ht="24.6" customHeight="1">
      <c r="A37" s="28" t="s">
        <v>19</v>
      </c>
      <c r="B37" s="149" t="s">
        <v>37</v>
      </c>
      <c r="C37" s="167"/>
      <c r="D37" s="167"/>
      <c r="E37" s="167"/>
      <c r="F37" s="167"/>
      <c r="G37" s="167"/>
      <c r="H37" s="167"/>
      <c r="I37" s="139"/>
      <c r="J37" s="137"/>
    </row>
  </sheetData>
  <mergeCells count="12">
    <mergeCell ref="A1:I1"/>
    <mergeCell ref="A2:A3"/>
    <mergeCell ref="B2:C2"/>
    <mergeCell ref="D2:D3"/>
    <mergeCell ref="E2:F2"/>
    <mergeCell ref="G2:G3"/>
    <mergeCell ref="H2:I2"/>
    <mergeCell ref="B33:H33"/>
    <mergeCell ref="B34:H34"/>
    <mergeCell ref="B35:H35"/>
    <mergeCell ref="B36:H36"/>
    <mergeCell ref="B37:H37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sqref="A1:I1"/>
    </sheetView>
  </sheetViews>
  <sheetFormatPr defaultRowHeight="15.95" customHeight="1"/>
  <cols>
    <col min="1" max="1" width="11.28515625" customWidth="1"/>
    <col min="2" max="2" width="17.28515625" customWidth="1"/>
    <col min="3" max="3" width="15.28515625" customWidth="1"/>
    <col min="4" max="4" width="19.5703125" customWidth="1"/>
    <col min="5" max="5" width="17" customWidth="1"/>
    <col min="6" max="6" width="14.7109375" customWidth="1"/>
    <col min="7" max="7" width="21.7109375" customWidth="1"/>
    <col min="8" max="8" width="17.140625" customWidth="1"/>
    <col min="9" max="9" width="16.140625" customWidth="1"/>
    <col min="11" max="11" width="17.7109375" bestFit="1" customWidth="1"/>
    <col min="12" max="12" width="13.42578125" bestFit="1" customWidth="1"/>
  </cols>
  <sheetData>
    <row r="1" spans="1:13" ht="58.9" customHeight="1" thickBot="1">
      <c r="A1" s="151" t="s">
        <v>53</v>
      </c>
      <c r="B1" s="151"/>
      <c r="C1" s="151"/>
      <c r="D1" s="151"/>
      <c r="E1" s="151"/>
      <c r="F1" s="151"/>
      <c r="G1" s="151"/>
      <c r="H1" s="151"/>
      <c r="I1" s="151"/>
    </row>
    <row r="2" spans="1:13" ht="12.75">
      <c r="A2" s="179" t="s">
        <v>11</v>
      </c>
      <c r="B2" s="169" t="s">
        <v>2</v>
      </c>
      <c r="C2" s="170"/>
      <c r="D2" s="171" t="s">
        <v>50</v>
      </c>
      <c r="E2" s="173" t="s">
        <v>8</v>
      </c>
      <c r="F2" s="174"/>
      <c r="G2" s="175" t="s">
        <v>9</v>
      </c>
      <c r="H2" s="177" t="s">
        <v>10</v>
      </c>
      <c r="I2" s="178"/>
    </row>
    <row r="3" spans="1:13" ht="12.75">
      <c r="A3" s="180"/>
      <c r="B3" s="5" t="s">
        <v>1</v>
      </c>
      <c r="C3" s="10" t="s">
        <v>29</v>
      </c>
      <c r="D3" s="172"/>
      <c r="E3" s="2" t="s">
        <v>1</v>
      </c>
      <c r="F3" s="11" t="s">
        <v>29</v>
      </c>
      <c r="G3" s="176"/>
      <c r="H3" s="12" t="s">
        <v>1</v>
      </c>
      <c r="I3" s="13" t="s">
        <v>29</v>
      </c>
    </row>
    <row r="4" spans="1:13" ht="12.75">
      <c r="A4" s="8">
        <v>1</v>
      </c>
      <c r="B4" s="134">
        <v>818426.39199999999</v>
      </c>
      <c r="C4" s="16">
        <v>227113323.78</v>
      </c>
      <c r="D4" s="3" t="s">
        <v>50</v>
      </c>
      <c r="E4" s="15"/>
      <c r="F4" s="16"/>
      <c r="G4" s="3"/>
      <c r="H4" s="15">
        <v>1485898.9824908203</v>
      </c>
      <c r="I4" s="17">
        <v>390877777.64830995</v>
      </c>
      <c r="K4" s="181"/>
      <c r="L4" s="135"/>
      <c r="M4" s="135"/>
    </row>
    <row r="5" spans="1:13" ht="12.75">
      <c r="A5" s="8">
        <f>A4+1</f>
        <v>2</v>
      </c>
      <c r="B5" s="134">
        <v>865707.76300000004</v>
      </c>
      <c r="C5" s="16">
        <v>240233904.23250002</v>
      </c>
      <c r="D5" s="3" t="s">
        <v>50</v>
      </c>
      <c r="E5" s="15">
        <v>3385294.7310000001</v>
      </c>
      <c r="F5" s="16">
        <f>E5*1000/3.6</f>
        <v>940359647.5</v>
      </c>
      <c r="G5" s="3" t="s">
        <v>14</v>
      </c>
      <c r="H5" s="15">
        <v>2605861.3085250002</v>
      </c>
      <c r="I5" s="17">
        <v>685492950.15232491</v>
      </c>
      <c r="K5" s="181"/>
      <c r="L5" s="135"/>
      <c r="M5" s="135"/>
    </row>
    <row r="6" spans="1:13" ht="12.75">
      <c r="A6" s="8">
        <f>A5+1</f>
        <v>3</v>
      </c>
      <c r="B6" s="134">
        <f>865496906/1000</f>
        <v>865496.90599999996</v>
      </c>
      <c r="C6" s="16">
        <v>240175391.41499999</v>
      </c>
      <c r="D6" s="3" t="s">
        <v>50</v>
      </c>
      <c r="E6" s="15"/>
      <c r="F6" s="16"/>
      <c r="G6" s="3"/>
      <c r="H6" s="15">
        <v>3129709.2958132816</v>
      </c>
      <c r="I6" s="17">
        <v>823295411.49699998</v>
      </c>
      <c r="K6" s="181"/>
      <c r="L6" s="135"/>
      <c r="M6" s="135"/>
    </row>
    <row r="7" spans="1:13" ht="12.75">
      <c r="A7" s="18">
        <f t="shared" ref="A7:A34" si="0">A6+1</f>
        <v>4</v>
      </c>
      <c r="B7" s="134">
        <f>474090482/1000</f>
        <v>474090.48200000002</v>
      </c>
      <c r="C7" s="16">
        <v>131560108.755</v>
      </c>
      <c r="D7" s="3" t="s">
        <v>50</v>
      </c>
      <c r="E7" s="15"/>
      <c r="F7" s="16"/>
      <c r="G7" s="3"/>
      <c r="H7" s="15">
        <v>2655777.7828250001</v>
      </c>
      <c r="I7" s="17">
        <v>698623883.52823699</v>
      </c>
      <c r="K7" s="181"/>
      <c r="L7" s="135"/>
      <c r="M7" s="135"/>
    </row>
    <row r="8" spans="1:13" ht="12.75">
      <c r="A8" s="18">
        <f t="shared" si="0"/>
        <v>5</v>
      </c>
      <c r="B8" s="134">
        <f>355469478/1000</f>
        <v>355469.478</v>
      </c>
      <c r="C8" s="16">
        <v>98642780.144999996</v>
      </c>
      <c r="D8" s="3" t="s">
        <v>50</v>
      </c>
      <c r="E8" s="15"/>
      <c r="F8" s="16"/>
      <c r="G8" s="3"/>
      <c r="H8" s="15">
        <v>2296151.5561775393</v>
      </c>
      <c r="I8" s="17">
        <v>604021288.12140203</v>
      </c>
      <c r="K8" s="181"/>
      <c r="L8" s="135"/>
      <c r="M8" s="135"/>
    </row>
    <row r="9" spans="1:13" ht="12.75">
      <c r="A9" s="8">
        <f t="shared" si="0"/>
        <v>6</v>
      </c>
      <c r="B9" s="134">
        <f>553377438/1000</f>
        <v>553377.43799999997</v>
      </c>
      <c r="C9" s="16">
        <v>153562239.04499999</v>
      </c>
      <c r="D9" s="3" t="s">
        <v>50</v>
      </c>
      <c r="E9" s="15"/>
      <c r="F9" s="16"/>
      <c r="G9" s="3"/>
      <c r="H9" s="15">
        <v>1732292.5865908205</v>
      </c>
      <c r="I9" s="17">
        <f>455.693613403121*10^6</f>
        <v>455693613.40312099</v>
      </c>
      <c r="K9" s="181"/>
      <c r="L9" s="144"/>
      <c r="M9" s="135"/>
    </row>
    <row r="10" spans="1:13" ht="12.75">
      <c r="A10" s="8">
        <f t="shared" si="0"/>
        <v>7</v>
      </c>
      <c r="B10" s="134">
        <v>680715.696</v>
      </c>
      <c r="C10" s="16">
        <v>188898605.64000002</v>
      </c>
      <c r="D10" s="3" t="s">
        <v>50</v>
      </c>
      <c r="E10" s="15">
        <v>3452125.3470000001</v>
      </c>
      <c r="F10" s="16">
        <v>958923707.5</v>
      </c>
      <c r="G10" s="3" t="s">
        <v>14</v>
      </c>
      <c r="H10" s="15">
        <v>3546819.5703560552</v>
      </c>
      <c r="I10" s="17">
        <v>933019651.88530195</v>
      </c>
      <c r="K10" s="181"/>
      <c r="L10" s="144"/>
      <c r="M10" s="135"/>
    </row>
    <row r="11" spans="1:13" ht="12.75">
      <c r="A11" s="8">
        <f t="shared" si="0"/>
        <v>8</v>
      </c>
      <c r="B11" s="134">
        <v>680026.6</v>
      </c>
      <c r="C11" s="16">
        <v>188707381.5</v>
      </c>
      <c r="D11" s="3" t="s">
        <v>50</v>
      </c>
      <c r="E11" s="15"/>
      <c r="F11" s="16"/>
      <c r="G11" s="3"/>
      <c r="H11" s="15">
        <v>3831114.5207500001</v>
      </c>
      <c r="I11" s="17">
        <v>1007805744.15407</v>
      </c>
      <c r="K11" s="181"/>
      <c r="L11" s="144"/>
      <c r="M11" s="135"/>
    </row>
    <row r="12" spans="1:13" ht="12.75">
      <c r="A12" s="8">
        <f t="shared" si="0"/>
        <v>9</v>
      </c>
      <c r="B12" s="134">
        <v>684099.29399999999</v>
      </c>
      <c r="C12" s="16">
        <v>189837554.08500001</v>
      </c>
      <c r="D12" s="3" t="s">
        <v>50</v>
      </c>
      <c r="E12" s="15"/>
      <c r="F12" s="16"/>
      <c r="G12" s="3"/>
      <c r="H12" s="15">
        <v>3130505.5295000002</v>
      </c>
      <c r="I12" s="17">
        <v>823504867.22556603</v>
      </c>
      <c r="K12" s="181"/>
      <c r="L12" s="144"/>
      <c r="M12" s="135"/>
    </row>
    <row r="13" spans="1:13" ht="12.75">
      <c r="A13" s="8">
        <f t="shared" si="0"/>
        <v>10</v>
      </c>
      <c r="B13" s="134">
        <f>723568212/1000</f>
        <v>723568.21200000006</v>
      </c>
      <c r="C13" s="16">
        <f>190.340486*10^6</f>
        <v>190340486</v>
      </c>
      <c r="D13" s="3" t="s">
        <v>50</v>
      </c>
      <c r="E13" s="15"/>
      <c r="F13" s="16"/>
      <c r="G13" s="3"/>
      <c r="H13" s="15">
        <v>2395234.0233875001</v>
      </c>
      <c r="I13" s="17">
        <f>630.085734657343*10^6</f>
        <v>630085734.65734303</v>
      </c>
      <c r="K13" s="181"/>
      <c r="L13" s="135"/>
      <c r="M13" s="135"/>
    </row>
    <row r="14" spans="1:13" ht="12.75">
      <c r="A14" s="18">
        <f t="shared" si="0"/>
        <v>11</v>
      </c>
      <c r="B14" s="134">
        <f>296459562/1000</f>
        <v>296459.56199999998</v>
      </c>
      <c r="C14" s="16">
        <f>77.986092*10^6</f>
        <v>77986092</v>
      </c>
      <c r="D14" s="3" t="s">
        <v>50</v>
      </c>
      <c r="E14" s="15"/>
      <c r="F14" s="16"/>
      <c r="G14" s="3"/>
      <c r="H14" s="15">
        <v>2220287.3015988222</v>
      </c>
      <c r="I14" s="17">
        <f>584.064580712554*10^6</f>
        <v>584064580.71255398</v>
      </c>
      <c r="K14" s="181"/>
      <c r="L14" s="135"/>
      <c r="M14" s="135"/>
    </row>
    <row r="15" spans="1:13" ht="12.75">
      <c r="A15" s="18">
        <f t="shared" si="0"/>
        <v>12</v>
      </c>
      <c r="B15" s="134">
        <f>335698051/1000</f>
        <v>335698.05099999998</v>
      </c>
      <c r="C15" s="16">
        <f>88.308095*10^6</f>
        <v>88308095</v>
      </c>
      <c r="D15" s="3" t="s">
        <v>50</v>
      </c>
      <c r="E15" s="15">
        <v>3459217.8059999999</v>
      </c>
      <c r="F15" s="16">
        <f>E15/3.6*1000</f>
        <v>960893835</v>
      </c>
      <c r="G15" s="3" t="s">
        <v>14</v>
      </c>
      <c r="H15" s="15">
        <v>5237912.8462000005</v>
      </c>
      <c r="I15" s="17">
        <f>1377.87545247938*10^6</f>
        <v>1377875452.4793801</v>
      </c>
      <c r="K15" s="181"/>
      <c r="L15" s="135"/>
      <c r="M15" s="135"/>
    </row>
    <row r="16" spans="1:13" ht="12.75">
      <c r="A16" s="8">
        <f t="shared" si="0"/>
        <v>13</v>
      </c>
      <c r="B16" s="134">
        <f>751334959/1000</f>
        <v>751334.95900000003</v>
      </c>
      <c r="C16" s="16">
        <f>197644.754121244*10^3</f>
        <v>197644754.12124401</v>
      </c>
      <c r="D16" s="3" t="s">
        <v>50</v>
      </c>
      <c r="E16" s="15"/>
      <c r="F16" s="16"/>
      <c r="G16" s="3"/>
      <c r="H16" s="15">
        <v>4465993.5109062502</v>
      </c>
      <c r="I16" s="17">
        <f>1174.81581123944*10^6</f>
        <v>1174815811.2394402</v>
      </c>
      <c r="K16" s="181"/>
      <c r="L16" s="135"/>
      <c r="M16" s="135"/>
    </row>
    <row r="17" spans="1:13" ht="12.75">
      <c r="A17" s="8">
        <f t="shared" si="0"/>
        <v>14</v>
      </c>
      <c r="B17" s="134">
        <f>751583709/1000</f>
        <v>751583.70900000003</v>
      </c>
      <c r="C17" s="16">
        <f>197.71019*10^6</f>
        <v>197710190</v>
      </c>
      <c r="D17" s="3" t="s">
        <v>50</v>
      </c>
      <c r="E17" s="15"/>
      <c r="F17" s="16"/>
      <c r="G17" s="3"/>
      <c r="H17" s="15">
        <v>3704486.0569081972</v>
      </c>
      <c r="I17" s="17">
        <f>974.495099812328*10^6</f>
        <v>974495099.81232798</v>
      </c>
      <c r="K17" s="181"/>
      <c r="L17" s="135"/>
      <c r="M17" s="135"/>
    </row>
    <row r="18" spans="1:13" ht="12.75">
      <c r="A18" s="8">
        <f t="shared" si="0"/>
        <v>15</v>
      </c>
      <c r="B18" s="134">
        <f>850946904/1000</f>
        <v>850946.90399999998</v>
      </c>
      <c r="C18" s="16">
        <f>223.848484*10^6</f>
        <v>223848484</v>
      </c>
      <c r="D18" s="3" t="s">
        <v>50</v>
      </c>
      <c r="E18" s="15"/>
      <c r="F18" s="16"/>
      <c r="G18" s="3"/>
      <c r="H18" s="15">
        <v>2838261.8960656254</v>
      </c>
      <c r="I18" s="17">
        <f>746.627809420998*10^6</f>
        <v>746627809.42099798</v>
      </c>
      <c r="K18" s="181"/>
      <c r="L18" s="135"/>
      <c r="M18" s="135"/>
    </row>
    <row r="19" spans="1:13" ht="12.75">
      <c r="A19" s="8">
        <f t="shared" si="0"/>
        <v>16</v>
      </c>
      <c r="B19" s="134">
        <f>850832362/1000</f>
        <v>850832.36199999996</v>
      </c>
      <c r="C19" s="16">
        <f>223.818353*10^6</f>
        <v>223818353</v>
      </c>
      <c r="D19" s="3" t="s">
        <v>50</v>
      </c>
      <c r="E19" s="15"/>
      <c r="F19" s="16"/>
      <c r="G19" s="3"/>
      <c r="H19" s="15">
        <v>1973289.57555</v>
      </c>
      <c r="I19" s="17">
        <f>519.089825779813*10^6</f>
        <v>519089825.77981305</v>
      </c>
      <c r="K19" s="181"/>
      <c r="L19" s="135"/>
      <c r="M19" s="135"/>
    </row>
    <row r="20" spans="1:13" ht="12.75">
      <c r="A20" s="8">
        <f t="shared" si="0"/>
        <v>17</v>
      </c>
      <c r="B20" s="134">
        <v>850555.022</v>
      </c>
      <c r="C20" s="16">
        <f>((B20/3.6)*0.999*10^3)/1.0549</f>
        <v>223745396.34562519</v>
      </c>
      <c r="D20" s="3" t="s">
        <v>50</v>
      </c>
      <c r="E20" s="15">
        <v>3462531.665</v>
      </c>
      <c r="F20" s="16">
        <f>E20/3.6*1000</f>
        <v>961814351.38888896</v>
      </c>
      <c r="G20" s="3" t="s">
        <v>14</v>
      </c>
      <c r="H20" s="15">
        <v>2914583.5538407331</v>
      </c>
      <c r="I20" s="17">
        <f>766.704840450093*10^6</f>
        <v>766704840.45009303</v>
      </c>
      <c r="K20" s="181"/>
      <c r="L20" s="135"/>
      <c r="M20" s="135"/>
    </row>
    <row r="21" spans="1:13" ht="12.75">
      <c r="A21" s="18">
        <f t="shared" si="0"/>
        <v>18</v>
      </c>
      <c r="B21" s="134">
        <f>454196238/1000</f>
        <v>454196.23800000001</v>
      </c>
      <c r="C21" s="16">
        <f>119.480004*10^6</f>
        <v>119480004</v>
      </c>
      <c r="D21" s="3" t="s">
        <v>50</v>
      </c>
      <c r="E21" s="15"/>
      <c r="F21" s="16"/>
      <c r="G21" s="3"/>
      <c r="H21" s="15">
        <v>4141038.1830500001</v>
      </c>
      <c r="I21" s="17">
        <f>1089.33367693277*10^6</f>
        <v>1089333676.93277</v>
      </c>
      <c r="K21" s="181"/>
      <c r="L21" s="135"/>
      <c r="M21" s="135"/>
    </row>
    <row r="22" spans="1:13" ht="12.75">
      <c r="A22" s="18">
        <f t="shared" si="0"/>
        <v>19</v>
      </c>
      <c r="B22" s="134">
        <f>355387710/1000</f>
        <v>355387.71</v>
      </c>
      <c r="C22" s="16">
        <f>93.487619*10^6</f>
        <v>93487619</v>
      </c>
      <c r="D22" s="3" t="s">
        <v>50</v>
      </c>
      <c r="E22" s="15"/>
      <c r="F22" s="16"/>
      <c r="G22" s="3"/>
      <c r="H22" s="15">
        <v>3775188.9254316348</v>
      </c>
      <c r="I22" s="17">
        <f>993.094062761663*10^6</f>
        <v>993094062.76166308</v>
      </c>
      <c r="K22" s="181"/>
      <c r="L22" s="135"/>
      <c r="M22" s="135"/>
    </row>
    <row r="23" spans="1:13" ht="12.75">
      <c r="A23" s="8">
        <f t="shared" si="0"/>
        <v>20</v>
      </c>
      <c r="B23" s="134">
        <f>752001262/1000</f>
        <v>752001.26199999999</v>
      </c>
      <c r="C23" s="16">
        <f>197.820031*10^6</f>
        <v>197820031</v>
      </c>
      <c r="D23" s="3" t="s">
        <v>50</v>
      </c>
      <c r="E23" s="15"/>
      <c r="F23" s="16"/>
      <c r="G23" s="3"/>
      <c r="H23" s="15">
        <v>3005798.6621187497</v>
      </c>
      <c r="I23" s="17">
        <f>790.699714416488*10^6</f>
        <v>790699714.41648793</v>
      </c>
      <c r="K23" s="181"/>
      <c r="L23" s="135"/>
      <c r="M23" s="135"/>
    </row>
    <row r="24" spans="1:13" ht="12.75">
      <c r="A24" s="8">
        <f t="shared" si="0"/>
        <v>21</v>
      </c>
      <c r="B24" s="134">
        <f>851007802/1000</f>
        <v>851007.80200000003</v>
      </c>
      <c r="C24" s="16">
        <f>223.864504*10^6</f>
        <v>223864504</v>
      </c>
      <c r="D24" s="3" t="s">
        <v>50</v>
      </c>
      <c r="E24" s="15">
        <v>3320538.656</v>
      </c>
      <c r="F24" s="16">
        <f>E24/3.6*1000</f>
        <v>922371848.88888884</v>
      </c>
      <c r="G24" s="3" t="s">
        <v>14</v>
      </c>
      <c r="H24" s="15">
        <v>3303063.0711468752</v>
      </c>
      <c r="I24" s="17">
        <f>868.897527958345*10^6</f>
        <v>868897527.95834494</v>
      </c>
      <c r="K24" s="181"/>
      <c r="L24" s="135"/>
      <c r="M24" s="135"/>
    </row>
    <row r="25" spans="1:13" ht="12.75">
      <c r="A25" s="8">
        <f t="shared" si="0"/>
        <v>22</v>
      </c>
      <c r="B25" s="134">
        <f>850730926/1000</f>
        <v>850730.92599999998</v>
      </c>
      <c r="C25" s="16">
        <f>223.791669*10^6</f>
        <v>223791669</v>
      </c>
      <c r="D25" s="3" t="s">
        <v>50</v>
      </c>
      <c r="E25" s="15"/>
      <c r="F25" s="16"/>
      <c r="G25" s="3"/>
      <c r="H25" s="15">
        <v>4616593.7828000002</v>
      </c>
      <c r="I25" s="17">
        <f>1214.43243409517*10^6</f>
        <v>1214432434.09517</v>
      </c>
      <c r="K25" s="181"/>
      <c r="L25" s="135"/>
      <c r="M25" s="135"/>
    </row>
    <row r="26" spans="1:13" ht="12.75">
      <c r="A26" s="8">
        <f t="shared" si="0"/>
        <v>23</v>
      </c>
      <c r="B26" s="134">
        <f>850841220/1000</f>
        <v>850841.22</v>
      </c>
      <c r="C26" s="16">
        <f>223.820683*10^6</f>
        <v>223820683</v>
      </c>
      <c r="D26" s="3" t="s">
        <v>50</v>
      </c>
      <c r="E26" s="15"/>
      <c r="F26" s="16"/>
      <c r="G26" s="3"/>
      <c r="H26" s="15">
        <v>3749677.3489867072</v>
      </c>
      <c r="I26" s="17">
        <f>986.38303568472*10^6</f>
        <v>986383035.68471992</v>
      </c>
      <c r="K26" s="181"/>
      <c r="L26" s="135"/>
      <c r="M26" s="135"/>
    </row>
    <row r="27" spans="1:13" ht="12.75">
      <c r="A27" s="8">
        <f t="shared" si="0"/>
        <v>24</v>
      </c>
      <c r="B27" s="134">
        <f>831106983/1000</f>
        <v>831106.98300000001</v>
      </c>
      <c r="C27" s="16">
        <f>218.629432*10^6</f>
        <v>218629432</v>
      </c>
      <c r="D27" s="3" t="s">
        <v>50</v>
      </c>
      <c r="E27" s="15"/>
      <c r="F27" s="16"/>
      <c r="G27" s="3"/>
      <c r="H27" s="15">
        <v>2908732.1704525482</v>
      </c>
      <c r="I27" s="17">
        <f>765.165586596438*10^6</f>
        <v>765165586.59643793</v>
      </c>
      <c r="K27" s="181"/>
      <c r="L27" s="135"/>
      <c r="M27" s="135"/>
    </row>
    <row r="28" spans="1:13" ht="12.75">
      <c r="A28" s="18">
        <f t="shared" si="0"/>
        <v>25</v>
      </c>
      <c r="B28" s="134">
        <f>474735645/1000</f>
        <v>474735.64500000002</v>
      </c>
      <c r="C28" s="16">
        <f>124.883061*10^6</f>
        <v>124883061</v>
      </c>
      <c r="D28" s="3" t="s">
        <v>50</v>
      </c>
      <c r="E28" s="15">
        <v>3318785.7889999999</v>
      </c>
      <c r="F28" s="16">
        <f>E28/3.6*1000</f>
        <v>921884941.38888884</v>
      </c>
      <c r="G28" s="3" t="s">
        <v>14</v>
      </c>
      <c r="H28" s="15">
        <v>4042186.39365</v>
      </c>
      <c r="I28" s="17">
        <f>1063.32991206548*10^6</f>
        <v>1063329912.0654799</v>
      </c>
      <c r="K28" s="181"/>
      <c r="L28" s="135"/>
      <c r="M28" s="135"/>
    </row>
    <row r="29" spans="1:13" ht="12.75">
      <c r="A29" s="18">
        <f t="shared" si="0"/>
        <v>26</v>
      </c>
      <c r="B29" s="134">
        <f>276470881/1000</f>
        <v>276470.88099999999</v>
      </c>
      <c r="C29" s="16">
        <f>72.727907*10^6</f>
        <v>72727907</v>
      </c>
      <c r="D29" s="3" t="s">
        <v>50</v>
      </c>
      <c r="E29" s="15"/>
      <c r="F29" s="16"/>
      <c r="G29" s="3"/>
      <c r="H29" s="15">
        <v>5489764.1483500004</v>
      </c>
      <c r="I29" s="17">
        <f>1444.12697996694*10^6</f>
        <v>1444126979.9669402</v>
      </c>
      <c r="K29" s="181"/>
      <c r="L29" s="135"/>
      <c r="M29" s="135"/>
    </row>
    <row r="30" spans="1:13" ht="12.75">
      <c r="A30" s="8">
        <f t="shared" si="0"/>
        <v>27</v>
      </c>
      <c r="B30" s="134">
        <f>692907874/1000</f>
        <v>692907.87399999995</v>
      </c>
      <c r="C30" s="16">
        <f>182.275036*10^6</f>
        <v>182275036</v>
      </c>
      <c r="D30" s="3" t="s">
        <v>50</v>
      </c>
      <c r="E30" s="15"/>
      <c r="F30" s="16"/>
      <c r="G30" s="3"/>
      <c r="H30" s="15">
        <v>4780753.9814500008</v>
      </c>
      <c r="I30" s="17">
        <f>1257.61610565208*10^6</f>
        <v>1257616105.6520801</v>
      </c>
      <c r="K30" s="181"/>
      <c r="L30" s="135"/>
      <c r="M30" s="135"/>
    </row>
    <row r="31" spans="1:13" ht="12.75">
      <c r="A31" s="8">
        <f t="shared" si="0"/>
        <v>28</v>
      </c>
      <c r="B31" s="134">
        <f>772499027/1000</f>
        <v>772499.027</v>
      </c>
      <c r="C31" s="16">
        <f>203.212134*10^6</f>
        <v>203212134</v>
      </c>
      <c r="D31" s="3" t="s">
        <v>50</v>
      </c>
      <c r="E31" s="15"/>
      <c r="F31" s="16"/>
      <c r="G31" s="3"/>
      <c r="H31" s="15">
        <v>3995826.6214500004</v>
      </c>
      <c r="I31" s="17">
        <f>1051.13459802102*10^6</f>
        <v>1051134598.0210201</v>
      </c>
      <c r="K31" s="181"/>
      <c r="L31" s="135"/>
      <c r="M31" s="135"/>
    </row>
    <row r="32" spans="1:13" ht="12.75">
      <c r="A32" s="8">
        <f t="shared" si="0"/>
        <v>29</v>
      </c>
      <c r="B32" s="134">
        <f>712881677/1000</f>
        <v>712881.67700000003</v>
      </c>
      <c r="C32" s="16">
        <f>187.529306*10^6</f>
        <v>187529306</v>
      </c>
      <c r="D32" s="3" t="s">
        <v>50</v>
      </c>
      <c r="E32" s="15"/>
      <c r="F32" s="16"/>
      <c r="G32" s="3"/>
      <c r="H32" s="15">
        <v>3274000.0625</v>
      </c>
      <c r="I32" s="17">
        <f>861.252267839369*10^6</f>
        <v>861252267.83936894</v>
      </c>
      <c r="K32" s="181"/>
      <c r="L32" s="135"/>
      <c r="M32" s="135"/>
    </row>
    <row r="33" spans="1:13" ht="12.75">
      <c r="A33" s="8">
        <f t="shared" si="0"/>
        <v>30</v>
      </c>
      <c r="B33" s="134">
        <f>652810512/1000</f>
        <v>652810.51199999999</v>
      </c>
      <c r="C33" s="16">
        <f>171.727099*10^6</f>
        <v>171727099</v>
      </c>
      <c r="D33" s="3" t="s">
        <v>50</v>
      </c>
      <c r="E33" s="15"/>
      <c r="F33" s="16"/>
      <c r="G33" s="3"/>
      <c r="H33" s="15">
        <v>2606934.4514000001</v>
      </c>
      <c r="I33" s="17">
        <f>685.775249088539*10^6</f>
        <v>685775249.088539</v>
      </c>
      <c r="K33" s="181"/>
      <c r="L33" s="135"/>
      <c r="M33" s="135"/>
    </row>
    <row r="34" spans="1:13" ht="12.75">
      <c r="A34" s="8">
        <f t="shared" si="0"/>
        <v>31</v>
      </c>
      <c r="B34" s="134">
        <f>712774600/1000</f>
        <v>712774.6</v>
      </c>
      <c r="C34" s="16">
        <f>187.501139*10^6</f>
        <v>187501139</v>
      </c>
      <c r="D34" s="3" t="s">
        <v>50</v>
      </c>
      <c r="E34" s="15"/>
      <c r="F34" s="16"/>
      <c r="G34" s="3"/>
      <c r="H34" s="15">
        <v>1878239.7780500003</v>
      </c>
      <c r="I34" s="17">
        <f>494.086205715115*10^6</f>
        <v>494086205.71511501</v>
      </c>
      <c r="K34" s="181"/>
      <c r="L34" s="135"/>
      <c r="M34" s="135"/>
    </row>
    <row r="35" spans="1:13" ht="12.75">
      <c r="A35" s="108"/>
      <c r="B35" s="25"/>
      <c r="C35" s="25"/>
      <c r="D35" s="26"/>
      <c r="E35" s="25"/>
      <c r="F35" s="25"/>
      <c r="G35" s="26"/>
      <c r="H35" s="25"/>
      <c r="I35" s="25"/>
    </row>
    <row r="36" spans="1:13" ht="24.6" customHeight="1">
      <c r="A36" s="108"/>
      <c r="B36" s="163" t="s">
        <v>17</v>
      </c>
      <c r="C36" s="163"/>
      <c r="D36" s="163"/>
      <c r="E36" s="164"/>
      <c r="F36" s="164"/>
      <c r="G36" s="164"/>
      <c r="H36" s="164"/>
      <c r="I36" s="143"/>
    </row>
    <row r="37" spans="1:13" ht="24.6" customHeight="1">
      <c r="A37" s="7" t="s">
        <v>5</v>
      </c>
      <c r="B37" s="165" t="s">
        <v>18</v>
      </c>
      <c r="C37" s="165"/>
      <c r="D37" s="165"/>
      <c r="E37" s="166"/>
      <c r="F37" s="166"/>
      <c r="G37" s="166"/>
      <c r="H37" s="166"/>
      <c r="I37" s="143"/>
      <c r="J37" s="138"/>
    </row>
    <row r="38" spans="1:13" ht="24.6" customHeight="1">
      <c r="A38" s="7" t="s">
        <v>6</v>
      </c>
      <c r="B38" s="165" t="s">
        <v>0</v>
      </c>
      <c r="C38" s="165"/>
      <c r="D38" s="165"/>
      <c r="E38" s="165"/>
      <c r="F38" s="165"/>
      <c r="G38" s="165"/>
      <c r="H38" s="165"/>
      <c r="I38" s="137"/>
      <c r="J38" s="138"/>
    </row>
    <row r="39" spans="1:13" ht="24.6" customHeight="1">
      <c r="A39" s="7" t="s">
        <v>7</v>
      </c>
      <c r="B39" s="165" t="s">
        <v>41</v>
      </c>
      <c r="C39" s="165"/>
      <c r="D39" s="165"/>
      <c r="E39" s="166"/>
      <c r="F39" s="166"/>
      <c r="G39" s="166"/>
      <c r="H39" s="166"/>
      <c r="I39" s="137"/>
      <c r="J39" s="138"/>
    </row>
    <row r="40" spans="1:13" ht="24.6" customHeight="1">
      <c r="A40" s="28" t="s">
        <v>19</v>
      </c>
      <c r="B40" s="149" t="s">
        <v>37</v>
      </c>
      <c r="C40" s="167"/>
      <c r="D40" s="167"/>
      <c r="E40" s="167"/>
      <c r="F40" s="167"/>
      <c r="G40" s="167"/>
      <c r="H40" s="167"/>
      <c r="I40" s="139"/>
      <c r="J40" s="137"/>
    </row>
  </sheetData>
  <mergeCells count="12">
    <mergeCell ref="A1:I1"/>
    <mergeCell ref="A2:A3"/>
    <mergeCell ref="B2:C2"/>
    <mergeCell ref="D2:D3"/>
    <mergeCell ref="E2:F2"/>
    <mergeCell ref="G2:G3"/>
    <mergeCell ref="H2:I2"/>
    <mergeCell ref="B36:H36"/>
    <mergeCell ref="B37:H37"/>
    <mergeCell ref="B38:H38"/>
    <mergeCell ref="B39:H39"/>
    <mergeCell ref="B40:H40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I1"/>
    </sheetView>
  </sheetViews>
  <sheetFormatPr defaultRowHeight="15.95" customHeight="1"/>
  <cols>
    <col min="1" max="1" width="11.28515625" customWidth="1"/>
    <col min="2" max="2" width="17.28515625" customWidth="1"/>
    <col min="3" max="3" width="15.28515625" customWidth="1"/>
    <col min="4" max="4" width="19.5703125" customWidth="1"/>
    <col min="5" max="5" width="17" customWidth="1"/>
    <col min="6" max="6" width="14.7109375" customWidth="1"/>
    <col min="7" max="7" width="21.7109375" customWidth="1"/>
    <col min="8" max="8" width="17.140625" customWidth="1"/>
    <col min="9" max="9" width="16.140625" customWidth="1"/>
    <col min="11" max="11" width="17.7109375" bestFit="1" customWidth="1"/>
    <col min="12" max="12" width="13.42578125" bestFit="1" customWidth="1"/>
  </cols>
  <sheetData>
    <row r="1" spans="1:13" ht="58.9" customHeight="1" thickBot="1">
      <c r="A1" s="151" t="s">
        <v>54</v>
      </c>
      <c r="B1" s="151"/>
      <c r="C1" s="151"/>
      <c r="D1" s="151"/>
      <c r="E1" s="151"/>
      <c r="F1" s="151"/>
      <c r="G1" s="151"/>
      <c r="H1" s="151"/>
      <c r="I1" s="151"/>
    </row>
    <row r="2" spans="1:13" ht="12.75">
      <c r="A2" s="179" t="s">
        <v>11</v>
      </c>
      <c r="B2" s="169" t="s">
        <v>2</v>
      </c>
      <c r="C2" s="170"/>
      <c r="D2" s="171" t="s">
        <v>50</v>
      </c>
      <c r="E2" s="173" t="s">
        <v>8</v>
      </c>
      <c r="F2" s="174"/>
      <c r="G2" s="175" t="s">
        <v>9</v>
      </c>
      <c r="H2" s="177" t="s">
        <v>10</v>
      </c>
      <c r="I2" s="178"/>
    </row>
    <row r="3" spans="1:13" ht="12.75">
      <c r="A3" s="180"/>
      <c r="B3" s="5" t="s">
        <v>1</v>
      </c>
      <c r="C3" s="10" t="s">
        <v>29</v>
      </c>
      <c r="D3" s="172"/>
      <c r="E3" s="2" t="s">
        <v>1</v>
      </c>
      <c r="F3" s="11" t="s">
        <v>29</v>
      </c>
      <c r="G3" s="176"/>
      <c r="H3" s="12" t="s">
        <v>1</v>
      </c>
      <c r="I3" s="13" t="s">
        <v>29</v>
      </c>
    </row>
    <row r="4" spans="1:13" ht="12.75">
      <c r="A4" s="18">
        <v>1</v>
      </c>
      <c r="B4" s="134">
        <f>487236127/1000</f>
        <v>487236.12699999998</v>
      </c>
      <c r="C4" s="16">
        <f>128.171415*10^6</f>
        <v>128171415</v>
      </c>
      <c r="D4" s="3" t="s">
        <v>50</v>
      </c>
      <c r="E4" s="15"/>
      <c r="F4" s="16"/>
      <c r="G4" s="3"/>
      <c r="H4" s="15">
        <v>1383612.8963500001</v>
      </c>
      <c r="I4" s="17">
        <f>363.970593171983*10^6</f>
        <v>363970593.171983</v>
      </c>
      <c r="K4" s="181"/>
      <c r="L4" s="135"/>
      <c r="M4" s="135"/>
    </row>
    <row r="5" spans="1:13" ht="12.75">
      <c r="A5" s="18">
        <f>A4+1</f>
        <v>2</v>
      </c>
      <c r="B5" s="134">
        <f>487371602/1000</f>
        <v>487371.60200000001</v>
      </c>
      <c r="C5" s="16">
        <f>128.207052*10^6</f>
        <v>128207052</v>
      </c>
      <c r="D5" s="3" t="s">
        <v>50</v>
      </c>
      <c r="E5" s="15"/>
      <c r="F5" s="16"/>
      <c r="G5" s="3"/>
      <c r="H5" s="15">
        <v>888311.46770000004</v>
      </c>
      <c r="I5" s="17">
        <f>233.677535583231*10^6</f>
        <v>233677535.583231</v>
      </c>
      <c r="K5" s="181"/>
      <c r="L5" s="135"/>
      <c r="M5" s="135"/>
    </row>
    <row r="6" spans="1:13" ht="12.75">
      <c r="A6" s="8">
        <f>A5+1</f>
        <v>3</v>
      </c>
      <c r="B6" s="134">
        <v>852213.55799999996</v>
      </c>
      <c r="C6" s="16">
        <v>236489264</v>
      </c>
      <c r="D6" s="3" t="s">
        <v>50</v>
      </c>
      <c r="E6" s="15">
        <v>3463889.61</v>
      </c>
      <c r="F6" s="16">
        <f>E6/3.6*1000</f>
        <v>962191558.33333325</v>
      </c>
      <c r="G6" s="3" t="s">
        <v>14</v>
      </c>
      <c r="H6" s="15">
        <v>3502180.8989500003</v>
      </c>
      <c r="I6" s="17">
        <f>921.277087362428*10^6</f>
        <v>921277087.36242795</v>
      </c>
      <c r="K6" s="181"/>
      <c r="L6" s="135"/>
      <c r="M6" s="135"/>
    </row>
    <row r="7" spans="1:13" ht="12.75">
      <c r="A7" s="8">
        <f t="shared" ref="A7:A33" si="0">A6+1</f>
        <v>4</v>
      </c>
      <c r="B7" s="134">
        <v>850581.11499999999</v>
      </c>
      <c r="C7" s="16">
        <f>223.75226*10^6</f>
        <v>223752260</v>
      </c>
      <c r="D7" s="3" t="s">
        <v>50</v>
      </c>
      <c r="E7" s="15"/>
      <c r="F7" s="16"/>
      <c r="G7" s="3"/>
      <c r="H7" s="15">
        <v>2642930.7295500003</v>
      </c>
      <c r="I7" s="17">
        <v>695244361.97755694</v>
      </c>
      <c r="K7" s="181"/>
      <c r="L7" s="135"/>
      <c r="M7" s="135"/>
    </row>
    <row r="8" spans="1:13" ht="12.75">
      <c r="A8" s="8">
        <f t="shared" si="0"/>
        <v>5</v>
      </c>
      <c r="B8" s="134">
        <v>851351.96400000004</v>
      </c>
      <c r="C8" s="16">
        <f>223.955038*10^6</f>
        <v>223955038</v>
      </c>
      <c r="D8" s="3" t="s">
        <v>50</v>
      </c>
      <c r="E8" s="15"/>
      <c r="F8" s="16"/>
      <c r="G8" s="3"/>
      <c r="H8" s="15">
        <v>1776751.1233000001</v>
      </c>
      <c r="I8" s="17">
        <v>467388792.033131</v>
      </c>
      <c r="K8" s="181"/>
      <c r="L8" s="135"/>
      <c r="M8" s="135"/>
    </row>
    <row r="9" spans="1:13" ht="12.75">
      <c r="A9" s="8">
        <f t="shared" si="0"/>
        <v>6</v>
      </c>
      <c r="B9" s="134">
        <f>851398585/1000</f>
        <v>851398.58499999996</v>
      </c>
      <c r="C9" s="16">
        <f>223.967302*10^6</f>
        <v>223967302</v>
      </c>
      <c r="D9" s="3" t="s">
        <v>50</v>
      </c>
      <c r="E9" s="15">
        <v>3475340.7059999998</v>
      </c>
      <c r="F9" s="16">
        <f>E9/3.6*1000</f>
        <v>965372418.33333325</v>
      </c>
      <c r="G9" s="3" t="s">
        <v>14</v>
      </c>
      <c r="H9" s="15">
        <v>2415547.0970000001</v>
      </c>
      <c r="I9" s="17">
        <f>635.429253405536*10^6</f>
        <v>635429253.40553594</v>
      </c>
      <c r="K9" s="181"/>
      <c r="L9" s="144"/>
      <c r="M9" s="135"/>
    </row>
    <row r="10" spans="1:13" ht="12.75">
      <c r="A10" s="8">
        <f t="shared" si="0"/>
        <v>7</v>
      </c>
      <c r="B10" s="134">
        <f>850695056/1000</f>
        <v>850695.05599999998</v>
      </c>
      <c r="C10" s="16">
        <f>223.782233*10^6</f>
        <v>223782233</v>
      </c>
      <c r="D10" s="3" t="s">
        <v>50</v>
      </c>
      <c r="E10" s="15"/>
      <c r="F10" s="16"/>
      <c r="G10" s="3"/>
      <c r="H10" s="15">
        <v>3539280.9812000007</v>
      </c>
      <c r="I10" s="17">
        <f>931.036564871552*10^6</f>
        <v>931036564.87155199</v>
      </c>
      <c r="K10" s="181"/>
      <c r="L10" s="144"/>
      <c r="M10" s="135"/>
    </row>
    <row r="11" spans="1:13" ht="12.75">
      <c r="A11" s="18">
        <f t="shared" si="0"/>
        <v>8</v>
      </c>
      <c r="B11" s="134">
        <f>593773686/1000</f>
        <v>593773.68599999999</v>
      </c>
      <c r="C11" s="16">
        <f>156.196983*10^6</f>
        <v>156196983</v>
      </c>
      <c r="D11" s="3" t="s">
        <v>50</v>
      </c>
      <c r="E11" s="15"/>
      <c r="F11" s="16"/>
      <c r="G11" s="3"/>
      <c r="H11" s="15">
        <v>2943410.7345500002</v>
      </c>
      <c r="I11" s="17">
        <f>774.28806411757*10^6</f>
        <v>774288064.11757004</v>
      </c>
      <c r="K11" s="181"/>
      <c r="L11" s="144"/>
      <c r="M11" s="135"/>
    </row>
    <row r="12" spans="1:13" ht="12.75">
      <c r="A12" s="18">
        <f t="shared" si="0"/>
        <v>9</v>
      </c>
      <c r="B12" s="134">
        <f>593466835/1000</f>
        <v>593466.83499999996</v>
      </c>
      <c r="C12" s="16">
        <f>156.116264*10^6</f>
        <v>156116264</v>
      </c>
      <c r="D12" s="3" t="s">
        <v>50</v>
      </c>
      <c r="E12" s="15">
        <v>3040359.4479999999</v>
      </c>
      <c r="F12" s="16">
        <f>E12/3.6*1000</f>
        <v>844544291.11111104</v>
      </c>
      <c r="G12" s="3" t="s">
        <v>14</v>
      </c>
      <c r="H12" s="15">
        <v>4723172.2009000005</v>
      </c>
      <c r="I12" s="17">
        <f>1242.4687513032*10^6</f>
        <v>1242468751.3032</v>
      </c>
      <c r="K12" s="181"/>
      <c r="L12" s="144"/>
      <c r="M12" s="135"/>
    </row>
    <row r="13" spans="1:13" ht="12.75">
      <c r="A13" s="8">
        <f t="shared" si="0"/>
        <v>10</v>
      </c>
      <c r="B13" s="134">
        <f>821372469/1000</f>
        <v>821372.46900000004</v>
      </c>
      <c r="C13" s="16">
        <f>216.068689*10^6</f>
        <v>216068689</v>
      </c>
      <c r="D13" s="3" t="s">
        <v>50</v>
      </c>
      <c r="E13" s="15"/>
      <c r="F13" s="16"/>
      <c r="G13" s="3"/>
      <c r="H13" s="15">
        <v>4610400.2153500002</v>
      </c>
      <c r="I13" s="17">
        <f>1212.80316594902*10^6</f>
        <v>1212803165.9490199</v>
      </c>
      <c r="K13" s="181"/>
      <c r="L13" s="135"/>
      <c r="M13" s="135"/>
    </row>
    <row r="14" spans="1:13" ht="12.75">
      <c r="A14" s="8">
        <f t="shared" si="0"/>
        <v>11</v>
      </c>
      <c r="B14" s="134">
        <v>792822.14599999995</v>
      </c>
      <c r="C14" s="16">
        <v>208558295</v>
      </c>
      <c r="D14" s="3" t="s">
        <v>50</v>
      </c>
      <c r="E14" s="15"/>
      <c r="F14" s="16"/>
      <c r="G14" s="3"/>
      <c r="H14" s="15">
        <v>3796467.3365000007</v>
      </c>
      <c r="I14" s="17">
        <f>998.69152135629*10^6</f>
        <v>998691521.35628998</v>
      </c>
      <c r="K14" s="181"/>
      <c r="L14" s="135"/>
      <c r="M14" s="135"/>
    </row>
    <row r="15" spans="1:13" ht="12.75">
      <c r="A15" s="8">
        <f t="shared" si="0"/>
        <v>12</v>
      </c>
      <c r="B15" s="134">
        <v>812214.804</v>
      </c>
      <c r="C15" s="16">
        <f>213.659691*10^6</f>
        <v>213659691</v>
      </c>
      <c r="D15" s="3" t="s">
        <v>50</v>
      </c>
      <c r="E15" s="15"/>
      <c r="F15" s="16"/>
      <c r="G15" s="3"/>
      <c r="H15" s="15">
        <v>2960703.6654500002</v>
      </c>
      <c r="I15" s="17">
        <f>778.837109832567*10^6</f>
        <v>778837109.83256698</v>
      </c>
      <c r="K15" s="181"/>
      <c r="L15" s="135"/>
      <c r="M15" s="135"/>
    </row>
    <row r="16" spans="1:13" ht="12.75">
      <c r="A16" s="8">
        <f t="shared" si="0"/>
        <v>13</v>
      </c>
      <c r="B16" s="134">
        <f>824033565/1000</f>
        <v>824033.56499999994</v>
      </c>
      <c r="C16" s="16">
        <v>216768712</v>
      </c>
      <c r="D16" s="3" t="s">
        <v>50</v>
      </c>
      <c r="E16" s="15"/>
      <c r="F16" s="16"/>
      <c r="G16" s="3"/>
      <c r="H16" s="15">
        <v>2111755.6676500002</v>
      </c>
      <c r="I16" s="17">
        <f>555.514454235354*10^6</f>
        <v>555514454.23535407</v>
      </c>
      <c r="K16" s="181"/>
      <c r="L16" s="135"/>
      <c r="M16" s="135"/>
    </row>
    <row r="17" spans="1:13" ht="12.75">
      <c r="A17" s="8">
        <f t="shared" si="0"/>
        <v>14</v>
      </c>
      <c r="B17" s="134">
        <v>676373.1</v>
      </c>
      <c r="C17" s="16">
        <v>177925429</v>
      </c>
      <c r="D17" s="3" t="s">
        <v>50</v>
      </c>
      <c r="E17" s="15">
        <v>3469824.7519999999</v>
      </c>
      <c r="F17" s="16">
        <f>E17/3.6*1000</f>
        <v>963840208.88888884</v>
      </c>
      <c r="G17" s="3" t="s">
        <v>14</v>
      </c>
      <c r="H17" s="15">
        <v>4112584.5662500006</v>
      </c>
      <c r="I17" s="17">
        <f>1081.84872228114*10^6</f>
        <v>1081848722.2811401</v>
      </c>
      <c r="K17" s="181"/>
      <c r="L17" s="135"/>
      <c r="M17" s="135"/>
    </row>
    <row r="18" spans="1:13" ht="12.75">
      <c r="A18" s="18">
        <f t="shared" si="0"/>
        <v>15</v>
      </c>
      <c r="B18" s="134">
        <v>476587.84100000001</v>
      </c>
      <c r="C18" s="16">
        <v>125370297</v>
      </c>
      <c r="D18" s="3" t="s">
        <v>50</v>
      </c>
      <c r="E18" s="15"/>
      <c r="F18" s="16"/>
      <c r="G18" s="3"/>
      <c r="H18" s="15">
        <v>4419626.0734000001</v>
      </c>
      <c r="I18" s="17">
        <f>1162.61848077401*10^6</f>
        <v>1162618480.7740102</v>
      </c>
      <c r="K18" s="181"/>
      <c r="L18" s="135"/>
      <c r="M18" s="135"/>
    </row>
    <row r="19" spans="1:13" ht="12.75">
      <c r="A19" s="18">
        <f t="shared" si="0"/>
        <v>16</v>
      </c>
      <c r="B19" s="134">
        <v>496554.54399999999</v>
      </c>
      <c r="C19" s="16">
        <f>130.6227*10^6</f>
        <v>130622700.00000001</v>
      </c>
      <c r="D19" s="3" t="s">
        <v>50</v>
      </c>
      <c r="E19" s="15"/>
      <c r="F19" s="16"/>
      <c r="G19" s="3"/>
      <c r="H19" s="15">
        <v>3911446.9302500007</v>
      </c>
      <c r="I19" s="17">
        <f>1028.93783595068*10^6</f>
        <v>1028937835.95068</v>
      </c>
      <c r="K19" s="181"/>
      <c r="L19" s="135"/>
      <c r="M19" s="135"/>
    </row>
    <row r="20" spans="1:13" ht="12.75">
      <c r="A20" s="8">
        <f t="shared" si="0"/>
        <v>17</v>
      </c>
      <c r="B20" s="134">
        <v>444949.73100000003</v>
      </c>
      <c r="C20" s="16">
        <v>117047635</v>
      </c>
      <c r="D20" s="3" t="s">
        <v>50</v>
      </c>
      <c r="E20" s="15"/>
      <c r="F20" s="16"/>
      <c r="G20" s="3"/>
      <c r="H20" s="15">
        <v>3459807.0860000001</v>
      </c>
      <c r="I20" s="17">
        <f>910.130312223907*10^6</f>
        <v>910130312.22390699</v>
      </c>
      <c r="K20" s="181"/>
      <c r="L20" s="135"/>
      <c r="M20" s="135"/>
    </row>
    <row r="21" spans="1:13" ht="12.75">
      <c r="A21" s="8">
        <f t="shared" si="0"/>
        <v>18</v>
      </c>
      <c r="B21" s="134">
        <v>831573.11600000004</v>
      </c>
      <c r="C21" s="16">
        <v>218752052</v>
      </c>
      <c r="D21" s="3" t="s">
        <v>50</v>
      </c>
      <c r="E21" s="15"/>
      <c r="F21" s="16"/>
      <c r="G21" s="3"/>
      <c r="H21" s="15">
        <v>2603929.6513500004</v>
      </c>
      <c r="I21" s="17">
        <f>684.984812067139*10^6</f>
        <v>684984812.06713903</v>
      </c>
      <c r="K21" s="181"/>
      <c r="L21" s="135"/>
      <c r="M21" s="135"/>
    </row>
    <row r="22" spans="1:13" ht="12.75">
      <c r="A22" s="8">
        <f t="shared" si="0"/>
        <v>19</v>
      </c>
      <c r="B22" s="134">
        <v>670157.772</v>
      </c>
      <c r="C22" s="16">
        <v>176290437</v>
      </c>
      <c r="D22" s="3" t="s">
        <v>50</v>
      </c>
      <c r="E22" s="15"/>
      <c r="F22" s="16"/>
      <c r="G22" s="3"/>
      <c r="H22" s="15">
        <v>1923066.4890000001</v>
      </c>
      <c r="I22" s="17">
        <f>505.878235564982*10^6</f>
        <v>505878235.564982</v>
      </c>
      <c r="K22" s="181"/>
      <c r="L22" s="135"/>
      <c r="M22" s="135"/>
    </row>
    <row r="23" spans="1:13" ht="12.75">
      <c r="A23" s="8">
        <f t="shared" si="0"/>
        <v>20</v>
      </c>
      <c r="B23" s="134">
        <v>524095.82299999997</v>
      </c>
      <c r="C23" s="16">
        <f>137.867657*10^6</f>
        <v>137867657</v>
      </c>
      <c r="D23" s="3" t="s">
        <v>50</v>
      </c>
      <c r="E23" s="15"/>
      <c r="F23" s="16"/>
      <c r="G23" s="3"/>
      <c r="H23" s="15">
        <v>1389990.4311500001</v>
      </c>
      <c r="I23" s="17">
        <f>365.648255421485*10^6</f>
        <v>365648255.42148495</v>
      </c>
      <c r="K23" s="181"/>
      <c r="L23" s="135"/>
      <c r="M23" s="135"/>
    </row>
    <row r="24" spans="1:13" ht="12.75">
      <c r="A24" s="8">
        <f t="shared" si="0"/>
        <v>21</v>
      </c>
      <c r="B24" s="134">
        <v>500472.91</v>
      </c>
      <c r="C24" s="16">
        <v>131653458</v>
      </c>
      <c r="D24" s="3" t="s">
        <v>50</v>
      </c>
      <c r="E24" s="15"/>
      <c r="F24" s="16"/>
      <c r="G24" s="3"/>
      <c r="H24" s="15">
        <v>876353.58995000005</v>
      </c>
      <c r="I24" s="17">
        <f>230.531918865414*10^6</f>
        <v>230531918.86541402</v>
      </c>
      <c r="K24" s="181"/>
      <c r="L24" s="135"/>
      <c r="M24" s="135"/>
    </row>
    <row r="25" spans="1:13" ht="12.75">
      <c r="A25" s="18">
        <f t="shared" si="0"/>
        <v>22</v>
      </c>
      <c r="B25" s="134">
        <v>674556.53799999994</v>
      </c>
      <c r="C25" s="16">
        <v>177447568</v>
      </c>
      <c r="D25" s="3" t="s">
        <v>50</v>
      </c>
      <c r="E25" s="15">
        <v>3331078.7790000001</v>
      </c>
      <c r="F25" s="16">
        <f>E25/3.6*1000</f>
        <v>925299660.83333337</v>
      </c>
      <c r="G25" s="3" t="s">
        <v>14</v>
      </c>
      <c r="H25" s="15">
        <v>1449227.9178500001</v>
      </c>
      <c r="I25" s="17">
        <f>381.231156700517*10^6</f>
        <v>381231156.700517</v>
      </c>
      <c r="K25" s="181"/>
      <c r="L25" s="135"/>
      <c r="M25" s="135"/>
    </row>
    <row r="26" spans="1:13" ht="12.75">
      <c r="A26" s="18">
        <f t="shared" si="0"/>
        <v>23</v>
      </c>
      <c r="B26" s="134">
        <v>636066.41099999996</v>
      </c>
      <c r="C26" s="16">
        <v>167322428</v>
      </c>
      <c r="D26" s="3" t="s">
        <v>50</v>
      </c>
      <c r="E26" s="15"/>
      <c r="F26" s="16"/>
      <c r="G26" s="3"/>
      <c r="H26" s="15">
        <v>2893862.1949499999</v>
      </c>
      <c r="I26" s="17">
        <f>761.25391894836*10^6</f>
        <v>761253918.94835997</v>
      </c>
      <c r="K26" s="181"/>
      <c r="L26" s="135"/>
      <c r="M26" s="135"/>
    </row>
    <row r="27" spans="1:13" ht="12.75">
      <c r="A27" s="8">
        <f t="shared" si="0"/>
        <v>24</v>
      </c>
      <c r="B27" s="134">
        <v>775265.04799999995</v>
      </c>
      <c r="C27" s="16">
        <v>203939758</v>
      </c>
      <c r="D27" s="3" t="s">
        <v>50</v>
      </c>
      <c r="E27" s="15"/>
      <c r="F27" s="16"/>
      <c r="G27" s="3"/>
      <c r="H27" s="15">
        <v>2102679.9450500002</v>
      </c>
      <c r="I27" s="17">
        <f>553.12701180337*10^6</f>
        <v>553127011.80337</v>
      </c>
      <c r="K27" s="181"/>
      <c r="L27" s="135"/>
      <c r="M27" s="135"/>
    </row>
    <row r="28" spans="1:13" ht="12.75">
      <c r="A28" s="8">
        <f t="shared" si="0"/>
        <v>25</v>
      </c>
      <c r="B28" s="134">
        <v>572960.17000000004</v>
      </c>
      <c r="C28" s="16">
        <v>150721819</v>
      </c>
      <c r="D28" s="3" t="s">
        <v>50</v>
      </c>
      <c r="E28" s="15"/>
      <c r="F28" s="16"/>
      <c r="G28" s="3"/>
      <c r="H28" s="15">
        <v>1527659.3314000003</v>
      </c>
      <c r="I28" s="17">
        <f>401.863176095839*10^6</f>
        <v>401863176.09583896</v>
      </c>
      <c r="K28" s="181"/>
      <c r="L28" s="135"/>
      <c r="M28" s="135"/>
    </row>
    <row r="29" spans="1:13" ht="12.75">
      <c r="A29" s="8">
        <f t="shared" si="0"/>
        <v>26</v>
      </c>
      <c r="B29" s="134">
        <v>826446.08600000001</v>
      </c>
      <c r="C29" s="16">
        <v>217403345</v>
      </c>
      <c r="D29" s="3" t="s">
        <v>50</v>
      </c>
      <c r="E29" s="15"/>
      <c r="F29" s="16"/>
      <c r="G29" s="3"/>
      <c r="H29" s="15">
        <v>678650.01115000003</v>
      </c>
      <c r="I29" s="17">
        <f>178.524389130842*10^6</f>
        <v>178524389.130842</v>
      </c>
      <c r="K29" s="181"/>
      <c r="L29" s="135"/>
      <c r="M29" s="135"/>
    </row>
    <row r="30" spans="1:13" ht="12.75">
      <c r="A30" s="8">
        <f t="shared" si="0"/>
        <v>27</v>
      </c>
      <c r="B30" s="134">
        <v>177775.64300000001</v>
      </c>
      <c r="C30" s="16">
        <f>46.765325*10^6</f>
        <v>46765325</v>
      </c>
      <c r="D30" s="3" t="s">
        <v>50</v>
      </c>
      <c r="E30" s="15"/>
      <c r="F30" s="16"/>
      <c r="G30" s="3"/>
      <c r="H30" s="15">
        <v>504494.25315000006</v>
      </c>
      <c r="I30" s="17">
        <f>132.711304625201*10^6</f>
        <v>132711304.625201</v>
      </c>
      <c r="K30" s="181"/>
      <c r="L30" s="135"/>
      <c r="M30" s="135"/>
    </row>
    <row r="31" spans="1:13" ht="12.75">
      <c r="A31" s="8">
        <f t="shared" si="0"/>
        <v>28</v>
      </c>
      <c r="B31" s="134">
        <v>241019.05300000001</v>
      </c>
      <c r="C31" s="16">
        <f>63.402017*10^6</f>
        <v>63402017</v>
      </c>
      <c r="D31" s="3" t="s">
        <v>50</v>
      </c>
      <c r="E31" s="15">
        <v>3385373.0010000002</v>
      </c>
      <c r="F31" s="16">
        <f>E31/3.6*1000</f>
        <v>940381389.16666663</v>
      </c>
      <c r="G31" s="3" t="s">
        <v>14</v>
      </c>
      <c r="H31" s="15">
        <v>1849724.8388</v>
      </c>
      <c r="I31" s="17">
        <f>486.585119695706*10^6</f>
        <v>486585119.69570601</v>
      </c>
      <c r="K31" s="181"/>
      <c r="L31" s="135"/>
      <c r="M31" s="135"/>
    </row>
    <row r="32" spans="1:13" ht="12.75">
      <c r="A32" s="18">
        <f t="shared" si="0"/>
        <v>29</v>
      </c>
      <c r="B32" s="134">
        <v>827765.03300000005</v>
      </c>
      <c r="C32" s="16">
        <f>217.750305*10^6</f>
        <v>217750305</v>
      </c>
      <c r="D32" s="3" t="s">
        <v>50</v>
      </c>
      <c r="E32" s="15">
        <v>3466806.8289999999</v>
      </c>
      <c r="F32" s="16">
        <f>E32/3.6*1000</f>
        <v>963001896.94444442</v>
      </c>
      <c r="G32" s="3" t="s">
        <v>14</v>
      </c>
      <c r="H32" s="15">
        <v>3343723.6881500008</v>
      </c>
      <c r="I32" s="17">
        <f>879.593633009409*10^6</f>
        <v>879593633.00940907</v>
      </c>
      <c r="K32" s="181"/>
      <c r="L32" s="135"/>
      <c r="M32" s="135"/>
    </row>
    <row r="33" spans="1:13" ht="12.75">
      <c r="A33" s="18">
        <f t="shared" si="0"/>
        <v>30</v>
      </c>
      <c r="B33" s="134">
        <v>736224.59199999995</v>
      </c>
      <c r="C33" s="16">
        <f>193.66985*10^6</f>
        <v>193669850</v>
      </c>
      <c r="D33" s="3" t="s">
        <v>50</v>
      </c>
      <c r="E33" s="15"/>
      <c r="F33" s="16"/>
      <c r="G33" s="3"/>
      <c r="H33" s="15">
        <v>5548633.7003500005</v>
      </c>
      <c r="I33" s="17">
        <f>1459.61309303927*10^6</f>
        <v>1459613093.0392702</v>
      </c>
      <c r="K33" s="181"/>
      <c r="L33" s="135"/>
      <c r="M33" s="135"/>
    </row>
    <row r="34" spans="1:13" ht="12.75">
      <c r="A34" s="108"/>
      <c r="B34" s="25"/>
      <c r="C34" s="25"/>
      <c r="D34" s="26"/>
      <c r="E34" s="25"/>
      <c r="F34" s="25"/>
      <c r="G34" s="26"/>
      <c r="H34" s="25"/>
      <c r="I34" s="25"/>
    </row>
    <row r="35" spans="1:13" ht="24.6" customHeight="1">
      <c r="A35" s="108"/>
      <c r="B35" s="163" t="s">
        <v>17</v>
      </c>
      <c r="C35" s="163"/>
      <c r="D35" s="163"/>
      <c r="E35" s="164"/>
      <c r="F35" s="164"/>
      <c r="G35" s="164"/>
      <c r="H35" s="164"/>
      <c r="I35" s="145"/>
    </row>
    <row r="36" spans="1:13" ht="24.6" customHeight="1">
      <c r="A36" s="7" t="s">
        <v>5</v>
      </c>
      <c r="B36" s="165" t="s">
        <v>18</v>
      </c>
      <c r="C36" s="165"/>
      <c r="D36" s="165"/>
      <c r="E36" s="166"/>
      <c r="F36" s="166"/>
      <c r="G36" s="166"/>
      <c r="H36" s="166"/>
      <c r="I36" s="145"/>
      <c r="J36" s="138"/>
    </row>
    <row r="37" spans="1:13" ht="24.6" customHeight="1">
      <c r="A37" s="7" t="s">
        <v>6</v>
      </c>
      <c r="B37" s="165" t="s">
        <v>0</v>
      </c>
      <c r="C37" s="165"/>
      <c r="D37" s="165"/>
      <c r="E37" s="165"/>
      <c r="F37" s="165"/>
      <c r="G37" s="165"/>
      <c r="H37" s="165"/>
      <c r="I37" s="137"/>
      <c r="J37" s="138"/>
    </row>
    <row r="38" spans="1:13" ht="24.6" customHeight="1">
      <c r="A38" s="7" t="s">
        <v>7</v>
      </c>
      <c r="B38" s="165" t="s">
        <v>41</v>
      </c>
      <c r="C38" s="165"/>
      <c r="D38" s="165"/>
      <c r="E38" s="166"/>
      <c r="F38" s="166"/>
      <c r="G38" s="166"/>
      <c r="H38" s="166"/>
      <c r="I38" s="137"/>
      <c r="J38" s="138"/>
    </row>
    <row r="39" spans="1:13" ht="24.6" customHeight="1">
      <c r="A39" s="28" t="s">
        <v>19</v>
      </c>
      <c r="B39" s="149" t="s">
        <v>37</v>
      </c>
      <c r="C39" s="167"/>
      <c r="D39" s="167"/>
      <c r="E39" s="167"/>
      <c r="F39" s="167"/>
      <c r="G39" s="167"/>
      <c r="H39" s="167"/>
      <c r="I39" s="139"/>
      <c r="J39" s="137"/>
    </row>
  </sheetData>
  <mergeCells count="12">
    <mergeCell ref="A1:I1"/>
    <mergeCell ref="A2:A3"/>
    <mergeCell ref="B2:C2"/>
    <mergeCell ref="D2:D3"/>
    <mergeCell ref="E2:F2"/>
    <mergeCell ref="G2:G3"/>
    <mergeCell ref="H2:I2"/>
    <mergeCell ref="B35:H35"/>
    <mergeCell ref="B36:H36"/>
    <mergeCell ref="B37:H37"/>
    <mergeCell ref="B38:H38"/>
    <mergeCell ref="B39:H39"/>
  </mergeCells>
  <pageMargins left="0.7" right="0.7" top="0.75" bottom="0.75" header="0.3" footer="0.3"/>
  <pageSetup paperSize="9"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sqref="A1:I1"/>
    </sheetView>
  </sheetViews>
  <sheetFormatPr defaultRowHeight="15.95" customHeight="1"/>
  <cols>
    <col min="1" max="1" width="11.28515625" customWidth="1"/>
    <col min="2" max="2" width="17.28515625" customWidth="1"/>
    <col min="3" max="3" width="15.28515625" customWidth="1"/>
    <col min="4" max="4" width="19.5703125" customWidth="1"/>
    <col min="5" max="5" width="17" customWidth="1"/>
    <col min="6" max="6" width="14.7109375" customWidth="1"/>
    <col min="7" max="7" width="21.7109375" customWidth="1"/>
    <col min="8" max="8" width="17.140625" customWidth="1"/>
    <col min="9" max="9" width="16.140625" customWidth="1"/>
    <col min="11" max="11" width="17.7109375" bestFit="1" customWidth="1"/>
    <col min="12" max="12" width="13.42578125" bestFit="1" customWidth="1"/>
  </cols>
  <sheetData>
    <row r="1" spans="1:13" ht="58.9" customHeight="1" thickBot="1">
      <c r="A1" s="151" t="s">
        <v>55</v>
      </c>
      <c r="B1" s="151"/>
      <c r="C1" s="151"/>
      <c r="D1" s="151"/>
      <c r="E1" s="151"/>
      <c r="F1" s="151"/>
      <c r="G1" s="151"/>
      <c r="H1" s="151"/>
      <c r="I1" s="151"/>
    </row>
    <row r="2" spans="1:13" ht="12.75">
      <c r="A2" s="179" t="s">
        <v>11</v>
      </c>
      <c r="B2" s="169" t="s">
        <v>2</v>
      </c>
      <c r="C2" s="170"/>
      <c r="D2" s="171" t="s">
        <v>50</v>
      </c>
      <c r="E2" s="173" t="s">
        <v>8</v>
      </c>
      <c r="F2" s="174"/>
      <c r="G2" s="175" t="s">
        <v>9</v>
      </c>
      <c r="H2" s="177" t="s">
        <v>10</v>
      </c>
      <c r="I2" s="178"/>
    </row>
    <row r="3" spans="1:13" ht="12.75">
      <c r="A3" s="180"/>
      <c r="B3" s="5" t="s">
        <v>1</v>
      </c>
      <c r="C3" s="10" t="s">
        <v>29</v>
      </c>
      <c r="D3" s="172"/>
      <c r="E3" s="2" t="s">
        <v>1</v>
      </c>
      <c r="F3" s="11" t="s">
        <v>29</v>
      </c>
      <c r="G3" s="176"/>
      <c r="H3" s="12" t="s">
        <v>1</v>
      </c>
      <c r="I3" s="13" t="s">
        <v>29</v>
      </c>
    </row>
    <row r="4" spans="1:13" ht="12.75">
      <c r="A4" s="8">
        <v>1</v>
      </c>
      <c r="B4" s="134">
        <v>672908.13699999999</v>
      </c>
      <c r="C4" s="16">
        <f>177.013943*10^6</f>
        <v>177013943</v>
      </c>
      <c r="D4" s="3" t="s">
        <v>50</v>
      </c>
      <c r="E4" s="15"/>
      <c r="F4" s="16"/>
      <c r="G4" s="3"/>
      <c r="H4" s="15">
        <v>4871449.8850000007</v>
      </c>
      <c r="I4" s="17">
        <f>1281.47439860413*10^6</f>
        <v>1281474398.60413</v>
      </c>
      <c r="K4" s="181"/>
      <c r="L4" s="135"/>
      <c r="M4" s="135"/>
    </row>
    <row r="5" spans="1:13" ht="12.75">
      <c r="A5" s="8">
        <f>A4+1</f>
        <v>2</v>
      </c>
      <c r="B5" s="134">
        <v>1030016.125</v>
      </c>
      <c r="C5" s="16">
        <f>270.954095*10^6</f>
        <v>270954095</v>
      </c>
      <c r="D5" s="3" t="s">
        <v>50</v>
      </c>
      <c r="E5" s="15"/>
      <c r="F5" s="16"/>
      <c r="G5" s="3"/>
      <c r="H5" s="15">
        <v>3823510.5369500001</v>
      </c>
      <c r="I5" s="17">
        <f>1005.80545454889*10^6</f>
        <v>1005805454.54889</v>
      </c>
      <c r="K5" s="181"/>
      <c r="L5" s="135"/>
      <c r="M5" s="135"/>
    </row>
    <row r="6" spans="1:13" ht="12.75">
      <c r="A6" s="8">
        <f>A5+1</f>
        <v>3</v>
      </c>
      <c r="B6" s="134">
        <v>1026382.073</v>
      </c>
      <c r="C6" s="16">
        <f>269.998128*10^6</f>
        <v>269998128</v>
      </c>
      <c r="D6" s="3" t="s">
        <v>50</v>
      </c>
      <c r="E6" s="15"/>
      <c r="F6" s="16"/>
      <c r="G6" s="3"/>
      <c r="H6" s="15">
        <v>2783359.1400500005</v>
      </c>
      <c r="I6" s="17">
        <f>732.185194202176*10^6</f>
        <v>732185194.20217609</v>
      </c>
      <c r="K6" s="181"/>
      <c r="L6" s="135"/>
      <c r="M6" s="135"/>
    </row>
    <row r="7" spans="1:13" ht="12.75">
      <c r="A7" s="8">
        <f t="shared" ref="A7:A34" si="0">A6+1</f>
        <v>4</v>
      </c>
      <c r="B7" s="134">
        <v>1026853.188</v>
      </c>
      <c r="C7" s="16">
        <f>270.122059*10^6</f>
        <v>270122059</v>
      </c>
      <c r="D7" s="3" t="s">
        <v>50</v>
      </c>
      <c r="E7" s="15">
        <v>3456677.43</v>
      </c>
      <c r="F7" s="16">
        <f>E7/3.6*1000</f>
        <v>960188175</v>
      </c>
      <c r="G7" s="3" t="s">
        <v>50</v>
      </c>
      <c r="H7" s="15">
        <v>5231412.6665000003</v>
      </c>
      <c r="I7" s="17">
        <f>1376.16552749431*10^6</f>
        <v>1376165527.4943101</v>
      </c>
      <c r="K7" s="181"/>
      <c r="L7" s="135"/>
      <c r="M7" s="135"/>
    </row>
    <row r="8" spans="1:13" ht="12.75">
      <c r="A8" s="8">
        <f t="shared" si="0"/>
        <v>5</v>
      </c>
      <c r="B8" s="134">
        <v>1026587.133</v>
      </c>
      <c r="C8" s="16">
        <f>270.052071*10^6</f>
        <v>270052071</v>
      </c>
      <c r="D8" s="3" t="s">
        <v>50</v>
      </c>
      <c r="E8" s="15"/>
      <c r="F8" s="16"/>
      <c r="G8" s="3"/>
      <c r="H8" s="15">
        <v>4192426.3961499999</v>
      </c>
      <c r="I8" s="17">
        <f>1102.85176313549*10^6</f>
        <v>1102851763.1354899</v>
      </c>
      <c r="K8" s="181"/>
      <c r="L8" s="135"/>
      <c r="M8" s="135"/>
    </row>
    <row r="9" spans="1:13" ht="12.75">
      <c r="A9" s="18">
        <f t="shared" si="0"/>
        <v>6</v>
      </c>
      <c r="B9" s="134">
        <v>827180.66399999999</v>
      </c>
      <c r="C9" s="16">
        <f>217.596582*10^6</f>
        <v>217596582</v>
      </c>
      <c r="D9" s="3" t="s">
        <v>50</v>
      </c>
      <c r="E9" s="15"/>
      <c r="F9" s="16"/>
      <c r="G9" s="3"/>
      <c r="H9" s="15">
        <v>3359728.8476000004</v>
      </c>
      <c r="I9" s="17">
        <f>883.803920000948*10^6</f>
        <v>883803920.00094795</v>
      </c>
      <c r="K9" s="181"/>
      <c r="L9" s="144"/>
      <c r="M9" s="135"/>
    </row>
    <row r="10" spans="1:13" ht="12.75">
      <c r="A10" s="18">
        <f t="shared" si="0"/>
        <v>7</v>
      </c>
      <c r="B10" s="134">
        <v>728066.473</v>
      </c>
      <c r="C10" s="16">
        <f>191.52379*10^6</f>
        <v>191523790</v>
      </c>
      <c r="D10" s="3" t="s">
        <v>50</v>
      </c>
      <c r="E10" s="15"/>
      <c r="F10" s="16"/>
      <c r="G10" s="3"/>
      <c r="H10" s="15">
        <v>2618340.4271000004</v>
      </c>
      <c r="I10" s="17">
        <f>688.775683496303*10^6</f>
        <v>688775683.49630308</v>
      </c>
      <c r="K10" s="181"/>
      <c r="L10" s="144"/>
      <c r="M10" s="135"/>
    </row>
    <row r="11" spans="1:13" ht="12.75">
      <c r="A11" s="8">
        <f t="shared" si="0"/>
        <v>8</v>
      </c>
      <c r="B11" s="134">
        <v>831423.70700000005</v>
      </c>
      <c r="C11" s="16">
        <f>218.712749*10^6</f>
        <v>218712749</v>
      </c>
      <c r="D11" s="3" t="s">
        <v>50</v>
      </c>
      <c r="E11" s="15">
        <v>3458963.59</v>
      </c>
      <c r="F11" s="16">
        <f>E11/3.6*1000</f>
        <v>960823219.44444442</v>
      </c>
      <c r="G11" s="3" t="s">
        <v>50</v>
      </c>
      <c r="H11" s="15">
        <v>3219116.4697499997</v>
      </c>
      <c r="I11" s="17">
        <f>846.814693672978*10^6</f>
        <v>846814693.67297804</v>
      </c>
      <c r="K11" s="181"/>
      <c r="L11" s="144"/>
      <c r="M11" s="135"/>
    </row>
    <row r="12" spans="1:13" ht="12.75">
      <c r="A12" s="8">
        <f t="shared" si="0"/>
        <v>9</v>
      </c>
      <c r="B12" s="134">
        <v>712420.94299999997</v>
      </c>
      <c r="C12" s="16">
        <f>187.408107*10^6</f>
        <v>187408107</v>
      </c>
      <c r="D12" s="3" t="s">
        <v>50</v>
      </c>
      <c r="E12" s="15"/>
      <c r="F12" s="16"/>
      <c r="G12" s="3"/>
      <c r="H12" s="15">
        <v>4536445.3406500006</v>
      </c>
      <c r="I12" s="17">
        <f>1193.34873640191*10^6</f>
        <v>1193348736.4019098</v>
      </c>
      <c r="K12" s="181"/>
      <c r="L12" s="144"/>
      <c r="M12" s="135"/>
    </row>
    <row r="13" spans="1:13" ht="12.75">
      <c r="A13" s="8">
        <f t="shared" si="0"/>
        <v>10</v>
      </c>
      <c r="B13" s="134">
        <v>712332.78899999999</v>
      </c>
      <c r="C13" s="16">
        <f>187.384917*10^6</f>
        <v>187384917</v>
      </c>
      <c r="D13" s="3" t="s">
        <v>50</v>
      </c>
      <c r="E13" s="15"/>
      <c r="F13" s="16"/>
      <c r="G13" s="3"/>
      <c r="H13" s="15">
        <v>3814618.7817000002</v>
      </c>
      <c r="I13" s="17">
        <f>1003.46640622026*10^6</f>
        <v>1003466406.2202599</v>
      </c>
      <c r="K13" s="181"/>
      <c r="L13" s="135"/>
      <c r="M13" s="135"/>
    </row>
    <row r="14" spans="1:13" ht="12.75">
      <c r="A14" s="8">
        <f t="shared" si="0"/>
        <v>11</v>
      </c>
      <c r="B14" s="134">
        <v>728502.82700000005</v>
      </c>
      <c r="C14" s="16">
        <f>191.638577*10^6</f>
        <v>191638577</v>
      </c>
      <c r="D14" s="3" t="s">
        <v>50</v>
      </c>
      <c r="E14" s="15"/>
      <c r="F14" s="16"/>
      <c r="G14" s="3"/>
      <c r="H14" s="15">
        <v>3074579.4550999999</v>
      </c>
      <c r="I14" s="17">
        <f>808.793059806854*10^6</f>
        <v>808793059.80685401</v>
      </c>
      <c r="K14" s="181"/>
      <c r="L14" s="135"/>
      <c r="M14" s="135"/>
    </row>
    <row r="15" spans="1:13" ht="12.75">
      <c r="A15" s="8">
        <f t="shared" si="0"/>
        <v>12</v>
      </c>
      <c r="B15" s="134">
        <v>811157.92</v>
      </c>
      <c r="C15" s="16">
        <f>213.381669*10^6</f>
        <v>213381669</v>
      </c>
      <c r="D15" s="3" t="s">
        <v>50</v>
      </c>
      <c r="E15" s="15"/>
      <c r="F15" s="16"/>
      <c r="G15" s="3"/>
      <c r="H15" s="15">
        <v>2250099.11485</v>
      </c>
      <c r="I15" s="17">
        <f>591.906819955327*10^6</f>
        <v>591906819.95532703</v>
      </c>
      <c r="K15" s="181"/>
      <c r="L15" s="135"/>
      <c r="M15" s="135"/>
    </row>
    <row r="16" spans="1:13" ht="12.75">
      <c r="A16" s="18">
        <f t="shared" si="0"/>
        <v>13</v>
      </c>
      <c r="B16" s="134">
        <v>585900.22600000002</v>
      </c>
      <c r="C16" s="16">
        <f>154.125806*10^6</f>
        <v>154125806</v>
      </c>
      <c r="D16" s="3" t="s">
        <v>50</v>
      </c>
      <c r="E16" s="15"/>
      <c r="F16" s="16"/>
      <c r="G16" s="3"/>
      <c r="H16" s="15">
        <v>1664101.7826500002</v>
      </c>
      <c r="I16" s="17">
        <f>437.755469414518*10^6</f>
        <v>437755469.414518</v>
      </c>
      <c r="K16" s="181"/>
      <c r="L16" s="135"/>
      <c r="M16" s="135"/>
    </row>
    <row r="17" spans="1:13" ht="12.75">
      <c r="A17" s="18">
        <f t="shared" si="0"/>
        <v>14</v>
      </c>
      <c r="B17" s="134">
        <v>447305.24099999998</v>
      </c>
      <c r="C17" s="16">
        <f>117.667271*10^6</f>
        <v>117667271</v>
      </c>
      <c r="D17" s="3" t="s">
        <v>50</v>
      </c>
      <c r="E17" s="15"/>
      <c r="F17" s="16"/>
      <c r="G17" s="3"/>
      <c r="H17" s="15">
        <v>1209089.20365</v>
      </c>
      <c r="I17" s="17">
        <f>318.060720459641*10^6</f>
        <v>318060720.45964098</v>
      </c>
      <c r="K17" s="181"/>
      <c r="L17" s="135"/>
      <c r="M17" s="135"/>
    </row>
    <row r="18" spans="1:13" ht="12.75">
      <c r="A18" s="8">
        <f t="shared" si="0"/>
        <v>15</v>
      </c>
      <c r="B18" s="134">
        <v>812580.41200000001</v>
      </c>
      <c r="C18" s="16">
        <f>213.755867*10^6</f>
        <v>213755867</v>
      </c>
      <c r="D18" s="3" t="s">
        <v>50</v>
      </c>
      <c r="E18" s="15">
        <v>3333891.8139999998</v>
      </c>
      <c r="F18" s="16">
        <f>E18/3.6*1000</f>
        <v>926081059.44444442</v>
      </c>
      <c r="G18" s="3" t="s">
        <v>50</v>
      </c>
      <c r="H18" s="15">
        <v>2460496.4408</v>
      </c>
      <c r="I18" s="17">
        <f>647.253542821121*10^6</f>
        <v>647253542.82112098</v>
      </c>
      <c r="K18" s="181"/>
      <c r="L18" s="135"/>
      <c r="M18" s="135"/>
    </row>
    <row r="19" spans="1:13" ht="12.75">
      <c r="A19" s="8">
        <f t="shared" si="0"/>
        <v>16</v>
      </c>
      <c r="B19" s="134">
        <v>803457.72499999998</v>
      </c>
      <c r="C19" s="16">
        <f>211.35607*10^6</f>
        <v>211356070</v>
      </c>
      <c r="D19" s="3" t="s">
        <v>50</v>
      </c>
      <c r="E19" s="15"/>
      <c r="F19" s="16"/>
      <c r="G19" s="3"/>
      <c r="H19" s="15">
        <v>2913546.7014000001</v>
      </c>
      <c r="I19" s="17">
        <f>766.43208800692*10^6</f>
        <v>766432088.00691998</v>
      </c>
      <c r="K19" s="181"/>
      <c r="L19" s="135"/>
      <c r="M19" s="135"/>
    </row>
    <row r="20" spans="1:13" ht="12.75">
      <c r="A20" s="8">
        <f t="shared" si="0"/>
        <v>17</v>
      </c>
      <c r="B20" s="134">
        <v>799598.56799999997</v>
      </c>
      <c r="C20" s="16">
        <f>210.340888*10^6</f>
        <v>210340888</v>
      </c>
      <c r="D20" s="3" t="s">
        <v>50</v>
      </c>
      <c r="E20" s="15"/>
      <c r="F20" s="16"/>
      <c r="G20" s="3"/>
      <c r="H20" s="15">
        <v>2108566.9002499999</v>
      </c>
      <c r="I20" s="17">
        <f>554.675623110603*10^6</f>
        <v>554675623.11060309</v>
      </c>
      <c r="K20" s="181"/>
      <c r="L20" s="135"/>
      <c r="M20" s="135"/>
    </row>
    <row r="21" spans="1:13" ht="12.75">
      <c r="A21" s="8">
        <f t="shared" si="0"/>
        <v>18</v>
      </c>
      <c r="B21" s="134">
        <v>799410.11699999997</v>
      </c>
      <c r="C21" s="16">
        <f>210.291314*10^6</f>
        <v>210291314</v>
      </c>
      <c r="D21" s="3" t="s">
        <v>50</v>
      </c>
      <c r="E21" s="15"/>
      <c r="F21" s="16"/>
      <c r="G21" s="3"/>
      <c r="H21" s="15">
        <v>1297148.2418500001</v>
      </c>
      <c r="I21" s="17">
        <f>341.225364597*10^6</f>
        <v>341225364.597</v>
      </c>
      <c r="K21" s="181"/>
      <c r="L21" s="135"/>
      <c r="M21" s="135"/>
    </row>
    <row r="22" spans="1:13" ht="12.75">
      <c r="A22" s="8">
        <f t="shared" si="0"/>
        <v>19</v>
      </c>
      <c r="B22" s="134">
        <v>839221.16799999995</v>
      </c>
      <c r="C22" s="16">
        <f>220.763934*10^6</f>
        <v>220763934</v>
      </c>
      <c r="D22" s="3" t="s">
        <v>50</v>
      </c>
      <c r="E22" s="15">
        <v>3316197.7560000001</v>
      </c>
      <c r="F22" s="16">
        <f>E22/3.6*1000</f>
        <v>921166043.33333337</v>
      </c>
      <c r="G22" s="3" t="s">
        <v>50</v>
      </c>
      <c r="H22" s="15">
        <v>1857696.7573000002</v>
      </c>
      <c r="I22" s="17">
        <f>488.682197507584*10^6</f>
        <v>488682197.50758404</v>
      </c>
      <c r="K22" s="181"/>
      <c r="L22" s="135"/>
      <c r="M22" s="135"/>
    </row>
    <row r="23" spans="1:13" ht="12.75">
      <c r="A23" s="18">
        <f t="shared" si="0"/>
        <v>20</v>
      </c>
      <c r="B23" s="134">
        <v>712354.41399999999</v>
      </c>
      <c r="C23" s="16">
        <f>187.390606*10^6</f>
        <v>187390606</v>
      </c>
      <c r="D23" s="3" t="s">
        <v>50</v>
      </c>
      <c r="E23" s="15"/>
      <c r="F23" s="16"/>
      <c r="G23" s="3"/>
      <c r="H23" s="15">
        <v>3077522.9326999998</v>
      </c>
      <c r="I23" s="17">
        <f>809.56736546047*10^6</f>
        <v>809567365.46046996</v>
      </c>
      <c r="K23" s="181"/>
      <c r="L23" s="135"/>
      <c r="M23" s="135"/>
    </row>
    <row r="24" spans="1:13" ht="12.75">
      <c r="A24" s="18">
        <f t="shared" si="0"/>
        <v>21</v>
      </c>
      <c r="B24" s="134">
        <v>562066.12600000005</v>
      </c>
      <c r="C24" s="16">
        <f>147.856053*10^6</f>
        <v>147856053</v>
      </c>
      <c r="D24" s="3" t="s">
        <v>50</v>
      </c>
      <c r="E24" s="15"/>
      <c r="F24" s="16"/>
      <c r="G24" s="3"/>
      <c r="H24" s="15">
        <v>2505077.8619500003</v>
      </c>
      <c r="I24" s="17">
        <f>658.981047199853*10^6</f>
        <v>658981047.19985306</v>
      </c>
      <c r="K24" s="181"/>
      <c r="L24" s="135"/>
      <c r="M24" s="135"/>
    </row>
    <row r="25" spans="1:13" ht="12.75">
      <c r="A25" s="8">
        <f t="shared" si="0"/>
        <v>22</v>
      </c>
      <c r="B25" s="134">
        <v>776277.94299999997</v>
      </c>
      <c r="C25" s="16">
        <f>204.206208*10^6</f>
        <v>204206208</v>
      </c>
      <c r="D25" s="3" t="s">
        <v>50</v>
      </c>
      <c r="E25" s="15"/>
      <c r="F25" s="16"/>
      <c r="G25" s="3"/>
      <c r="H25" s="15">
        <v>1711871.9712000003</v>
      </c>
      <c r="I25" s="17">
        <f>450.321804918002*10^6</f>
        <v>450321804.91800201</v>
      </c>
      <c r="K25" s="181"/>
      <c r="L25" s="135"/>
      <c r="M25" s="135"/>
    </row>
    <row r="26" spans="1:13" ht="12.75">
      <c r="A26" s="8">
        <f t="shared" si="0"/>
        <v>23</v>
      </c>
      <c r="B26" s="134">
        <v>741017.25699999998</v>
      </c>
      <c r="C26" s="16">
        <f>194.930599*10^6</f>
        <v>194930599</v>
      </c>
      <c r="D26" s="3" t="s">
        <v>50</v>
      </c>
      <c r="E26" s="15"/>
      <c r="F26" s="16"/>
      <c r="G26" s="3"/>
      <c r="H26" s="15">
        <v>958341.7056000001</v>
      </c>
      <c r="I26" s="17">
        <f>252.099557592189*10^6</f>
        <v>252099557.59218901</v>
      </c>
      <c r="K26" s="181"/>
      <c r="L26" s="135"/>
      <c r="M26" s="135"/>
    </row>
    <row r="27" spans="1:13" ht="12.75">
      <c r="A27" s="8">
        <f t="shared" si="0"/>
        <v>24</v>
      </c>
      <c r="B27" s="134">
        <v>780811.76</v>
      </c>
      <c r="C27" s="16">
        <v>205398866</v>
      </c>
      <c r="D27" s="3" t="s">
        <v>50</v>
      </c>
      <c r="E27" s="15">
        <v>3538407.5619999999</v>
      </c>
      <c r="F27" s="16">
        <v>982890990</v>
      </c>
      <c r="G27" s="3" t="s">
        <v>50</v>
      </c>
      <c r="H27" s="15">
        <v>1581623.0874000001</v>
      </c>
      <c r="I27" s="17">
        <v>416058779.74547297</v>
      </c>
      <c r="K27" s="181"/>
      <c r="L27" s="135"/>
      <c r="M27" s="135"/>
    </row>
    <row r="28" spans="1:13" ht="12.75">
      <c r="A28" s="8">
        <f t="shared" si="0"/>
        <v>25</v>
      </c>
      <c r="B28" s="134">
        <v>782008.99100000004</v>
      </c>
      <c r="C28" s="16">
        <v>205713807</v>
      </c>
      <c r="D28" s="3" t="s">
        <v>50</v>
      </c>
      <c r="E28" s="15"/>
      <c r="F28" s="16"/>
      <c r="G28" s="3"/>
      <c r="H28" s="15">
        <v>2926976.3179500001</v>
      </c>
      <c r="I28" s="17">
        <v>769964858</v>
      </c>
      <c r="K28" s="181"/>
      <c r="L28" s="135"/>
      <c r="M28" s="135"/>
    </row>
    <row r="29" spans="1:13" ht="12.75">
      <c r="A29" s="8">
        <f t="shared" si="0"/>
        <v>26</v>
      </c>
      <c r="B29" s="134">
        <f>782584278/1000</f>
        <v>782584.27800000005</v>
      </c>
      <c r="C29" s="16">
        <f>205.865141*10^6</f>
        <v>205865141</v>
      </c>
      <c r="D29" s="3" t="s">
        <v>50</v>
      </c>
      <c r="E29" s="15"/>
      <c r="F29" s="16"/>
      <c r="G29" s="3"/>
      <c r="H29" s="15">
        <v>2137633.7415500004</v>
      </c>
      <c r="I29" s="17">
        <f>562.321891440065*10^6</f>
        <v>562321891.44006503</v>
      </c>
      <c r="K29" s="181"/>
      <c r="L29" s="135"/>
      <c r="M29" s="135"/>
    </row>
    <row r="30" spans="1:13" ht="12.75">
      <c r="A30" s="18">
        <f t="shared" si="0"/>
        <v>27</v>
      </c>
      <c r="B30" s="134">
        <f>790665406/1000</f>
        <v>790665.40599999996</v>
      </c>
      <c r="C30" s="16">
        <f>207.990947*10^6</f>
        <v>207990947</v>
      </c>
      <c r="D30" s="3" t="s">
        <v>50</v>
      </c>
      <c r="E30" s="15"/>
      <c r="F30" s="16"/>
      <c r="G30" s="3"/>
      <c r="H30" s="15">
        <v>1336210.6425000001</v>
      </c>
      <c r="I30" s="17">
        <f>351.501045875201*10^6</f>
        <v>351501045.87520099</v>
      </c>
      <c r="K30" s="181"/>
      <c r="L30" s="135"/>
      <c r="M30" s="135"/>
    </row>
    <row r="31" spans="1:13" ht="12.75">
      <c r="A31" s="18">
        <f t="shared" si="0"/>
        <v>28</v>
      </c>
      <c r="B31" s="134">
        <f>727159124/1000</f>
        <v>727159.12399999995</v>
      </c>
      <c r="C31" s="16">
        <f>191.285105*10^6</f>
        <v>191285105</v>
      </c>
      <c r="D31" s="3" t="s">
        <v>50</v>
      </c>
      <c r="E31" s="15">
        <v>3380453.8730000001</v>
      </c>
      <c r="F31" s="16">
        <f>E31/3.6*1000</f>
        <v>939014964.72222221</v>
      </c>
      <c r="G31" s="3" t="s">
        <v>50</v>
      </c>
      <c r="H31" s="15">
        <v>1493686.6941000002</v>
      </c>
      <c r="I31" s="17">
        <f>392.926398343682*10^6</f>
        <v>392926398.34368205</v>
      </c>
      <c r="K31" s="181"/>
      <c r="L31" s="135"/>
      <c r="M31" s="135"/>
    </row>
    <row r="32" spans="1:13" ht="12.75">
      <c r="A32" s="8">
        <f t="shared" si="0"/>
        <v>29</v>
      </c>
      <c r="B32" s="134">
        <v>860494.32499999995</v>
      </c>
      <c r="C32" s="16">
        <f>226.360011*10^6</f>
        <v>226360011</v>
      </c>
      <c r="D32" s="3" t="s">
        <v>50</v>
      </c>
      <c r="E32" s="15"/>
      <c r="F32" s="16"/>
      <c r="G32" s="3"/>
      <c r="H32" s="15">
        <v>3126887.50495</v>
      </c>
      <c r="I32" s="17">
        <f>822.55311652633*10^6</f>
        <v>822553116.52632999</v>
      </c>
      <c r="K32" s="181"/>
      <c r="L32" s="135"/>
      <c r="M32" s="135"/>
    </row>
    <row r="33" spans="1:13" ht="12.75">
      <c r="A33" s="8">
        <f t="shared" si="0"/>
        <v>30</v>
      </c>
      <c r="B33" s="134">
        <f>852125928/1000</f>
        <v>852125.92799999996</v>
      </c>
      <c r="C33" s="16">
        <f>224.158636*10^6</f>
        <v>224158636</v>
      </c>
      <c r="D33" s="3" t="s">
        <v>50</v>
      </c>
      <c r="E33" s="15"/>
      <c r="F33" s="16"/>
      <c r="G33" s="3"/>
      <c r="H33" s="15">
        <v>2270274.2009000001</v>
      </c>
      <c r="I33" s="17">
        <f>597.214039956157*10^6</f>
        <v>597214039.95615697</v>
      </c>
      <c r="K33" s="181"/>
      <c r="L33" s="135"/>
      <c r="M33" s="135"/>
    </row>
    <row r="34" spans="1:13" ht="12.75">
      <c r="A34" s="8">
        <f t="shared" si="0"/>
        <v>31</v>
      </c>
      <c r="B34" s="134">
        <v>860055.66</v>
      </c>
      <c r="C34" s="16">
        <f>226.244616*10^6</f>
        <v>226244616</v>
      </c>
      <c r="D34" s="3" t="s">
        <v>50</v>
      </c>
      <c r="E34" s="15">
        <v>3543261.9139999999</v>
      </c>
      <c r="F34" s="16">
        <f>E34/3.6*1000</f>
        <v>984239420.55555546</v>
      </c>
      <c r="G34" s="3" t="s">
        <v>50</v>
      </c>
      <c r="H34" s="15">
        <v>4088423.5209500003</v>
      </c>
      <c r="I34" s="17">
        <f>1075.49296337437*10^6</f>
        <v>1075492963.3743701</v>
      </c>
      <c r="K34" s="181"/>
      <c r="L34" s="135"/>
      <c r="M34" s="135"/>
    </row>
    <row r="35" spans="1:13" ht="12.75">
      <c r="A35" s="108"/>
      <c r="B35" s="25"/>
      <c r="C35" s="25"/>
      <c r="D35" s="26"/>
      <c r="E35" s="25"/>
      <c r="F35" s="25"/>
      <c r="G35" s="26"/>
      <c r="H35" s="25"/>
      <c r="I35" s="25"/>
    </row>
    <row r="36" spans="1:13" ht="24.6" customHeight="1">
      <c r="A36" s="108"/>
      <c r="B36" s="163" t="s">
        <v>17</v>
      </c>
      <c r="C36" s="163"/>
      <c r="D36" s="163"/>
      <c r="E36" s="164"/>
      <c r="F36" s="164"/>
      <c r="G36" s="164"/>
      <c r="H36" s="164"/>
      <c r="I36" s="146"/>
    </row>
    <row r="37" spans="1:13" ht="24.6" customHeight="1">
      <c r="A37" s="7" t="s">
        <v>5</v>
      </c>
      <c r="B37" s="165" t="s">
        <v>18</v>
      </c>
      <c r="C37" s="165"/>
      <c r="D37" s="165"/>
      <c r="E37" s="166"/>
      <c r="F37" s="166"/>
      <c r="G37" s="166"/>
      <c r="H37" s="166"/>
      <c r="I37" s="146"/>
      <c r="J37" s="138"/>
    </row>
    <row r="38" spans="1:13" ht="24.6" customHeight="1">
      <c r="A38" s="7" t="s">
        <v>6</v>
      </c>
      <c r="B38" s="165" t="s">
        <v>0</v>
      </c>
      <c r="C38" s="165"/>
      <c r="D38" s="165"/>
      <c r="E38" s="165"/>
      <c r="F38" s="165"/>
      <c r="G38" s="165"/>
      <c r="H38" s="165"/>
      <c r="I38" s="137"/>
      <c r="J38" s="138"/>
    </row>
    <row r="39" spans="1:13" ht="24.6" customHeight="1">
      <c r="A39" s="7" t="s">
        <v>7</v>
      </c>
      <c r="B39" s="165" t="s">
        <v>41</v>
      </c>
      <c r="C39" s="165"/>
      <c r="D39" s="165"/>
      <c r="E39" s="166"/>
      <c r="F39" s="166"/>
      <c r="G39" s="166"/>
      <c r="H39" s="166"/>
      <c r="I39" s="137"/>
      <c r="J39" s="138"/>
    </row>
    <row r="40" spans="1:13" ht="24.6" customHeight="1">
      <c r="A40" s="28" t="s">
        <v>19</v>
      </c>
      <c r="B40" s="149" t="s">
        <v>37</v>
      </c>
      <c r="C40" s="167"/>
      <c r="D40" s="167"/>
      <c r="E40" s="167"/>
      <c r="F40" s="167"/>
      <c r="G40" s="167"/>
      <c r="H40" s="167"/>
      <c r="I40" s="139"/>
      <c r="J40" s="137"/>
    </row>
  </sheetData>
  <mergeCells count="12">
    <mergeCell ref="A1:I1"/>
    <mergeCell ref="A2:A3"/>
    <mergeCell ref="B2:C2"/>
    <mergeCell ref="D2:D3"/>
    <mergeCell ref="E2:F2"/>
    <mergeCell ref="G2:G3"/>
    <mergeCell ref="H2:I2"/>
    <mergeCell ref="B36:H36"/>
    <mergeCell ref="B37:H37"/>
    <mergeCell ref="B38:H38"/>
    <mergeCell ref="B39:H39"/>
    <mergeCell ref="B40:H40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3" workbookViewId="0">
      <selection activeCell="I33" sqref="I33"/>
    </sheetView>
  </sheetViews>
  <sheetFormatPr defaultRowHeight="12.75"/>
  <cols>
    <col min="1" max="1" width="10.140625" customWidth="1"/>
    <col min="2" max="2" width="16.85546875" customWidth="1"/>
    <col min="3" max="3" width="16.5703125" customWidth="1"/>
    <col min="4" max="4" width="19.85546875" customWidth="1"/>
    <col min="5" max="6" width="17.140625" customWidth="1"/>
    <col min="7" max="7" width="19.85546875" customWidth="1"/>
    <col min="8" max="8" width="16.85546875" customWidth="1"/>
    <col min="9" max="9" width="17.140625" customWidth="1"/>
  </cols>
  <sheetData>
    <row r="1" spans="1:9" ht="45.6" customHeight="1" thickBot="1">
      <c r="A1" s="151" t="s">
        <v>23</v>
      </c>
      <c r="B1" s="151"/>
      <c r="C1" s="151"/>
      <c r="D1" s="151"/>
      <c r="E1" s="151"/>
      <c r="F1" s="151"/>
      <c r="G1" s="151"/>
      <c r="H1" s="151"/>
      <c r="I1" s="151"/>
    </row>
    <row r="2" spans="1:9">
      <c r="A2" s="152" t="s">
        <v>11</v>
      </c>
      <c r="B2" s="153" t="s">
        <v>2</v>
      </c>
      <c r="C2" s="154"/>
      <c r="D2" s="155" t="s">
        <v>12</v>
      </c>
      <c r="E2" s="157" t="s">
        <v>8</v>
      </c>
      <c r="F2" s="158"/>
      <c r="G2" s="159" t="s">
        <v>9</v>
      </c>
      <c r="H2" s="161" t="s">
        <v>10</v>
      </c>
      <c r="I2" s="162"/>
    </row>
    <row r="3" spans="1:9">
      <c r="A3" s="152"/>
      <c r="B3" s="5" t="s">
        <v>1</v>
      </c>
      <c r="C3" s="10" t="s">
        <v>15</v>
      </c>
      <c r="D3" s="156"/>
      <c r="E3" s="2" t="s">
        <v>1</v>
      </c>
      <c r="F3" s="11" t="s">
        <v>15</v>
      </c>
      <c r="G3" s="160"/>
      <c r="H3" s="12" t="s">
        <v>1</v>
      </c>
      <c r="I3" s="13" t="s">
        <v>15</v>
      </c>
    </row>
    <row r="4" spans="1:9">
      <c r="A4" s="32">
        <v>1</v>
      </c>
      <c r="B4" s="15">
        <f>236892945/1000</f>
        <v>236892.94500000001</v>
      </c>
      <c r="C4" s="16">
        <f t="shared" ref="C4:C15" si="0">(B4/3.6)*1000</f>
        <v>65803595.833333343</v>
      </c>
      <c r="D4" s="3" t="s">
        <v>14</v>
      </c>
      <c r="E4" s="15"/>
      <c r="F4" s="16"/>
      <c r="G4" s="3"/>
      <c r="H4" s="15">
        <v>5478463.4340599617</v>
      </c>
      <c r="I4" s="17">
        <f>(H4/3.6)*1000</f>
        <v>1521795398.3499894</v>
      </c>
    </row>
    <row r="5" spans="1:9">
      <c r="A5" s="29">
        <f>A4+1</f>
        <v>2</v>
      </c>
      <c r="B5" s="15">
        <f>850590066/1000</f>
        <v>850590.06599999999</v>
      </c>
      <c r="C5" s="16">
        <f t="shared" si="0"/>
        <v>236275018.33333331</v>
      </c>
      <c r="D5" s="3" t="s">
        <v>14</v>
      </c>
      <c r="E5" s="15"/>
      <c r="F5" s="16"/>
      <c r="G5" s="3"/>
      <c r="H5" s="15">
        <v>5241084.7091916017</v>
      </c>
      <c r="I5" s="17">
        <f>(H5/3.6)*1000</f>
        <v>1455856863.6643338</v>
      </c>
    </row>
    <row r="6" spans="1:9">
      <c r="A6" s="29">
        <f t="shared" ref="A6:A34" si="1">A5+1</f>
        <v>3</v>
      </c>
      <c r="B6" s="15">
        <f>851322013/1000</f>
        <v>851322.01300000004</v>
      </c>
      <c r="C6" s="16">
        <f t="shared" si="0"/>
        <v>236478336.94444445</v>
      </c>
      <c r="D6" s="3" t="s">
        <v>14</v>
      </c>
      <c r="E6" s="27"/>
      <c r="F6" s="16"/>
      <c r="G6" s="3"/>
      <c r="H6" s="15">
        <v>4373275.0276593752</v>
      </c>
      <c r="I6" s="17">
        <f>(H6/3.6)*1000</f>
        <v>1214798618.7942708</v>
      </c>
    </row>
    <row r="7" spans="1:9">
      <c r="A7" s="29">
        <f t="shared" si="1"/>
        <v>4</v>
      </c>
      <c r="B7" s="15">
        <f>851880388/1000</f>
        <v>851880.38800000004</v>
      </c>
      <c r="C7" s="16">
        <f t="shared" si="0"/>
        <v>236633441.1111111</v>
      </c>
      <c r="D7" s="3" t="s">
        <v>14</v>
      </c>
      <c r="E7" s="27"/>
      <c r="F7" s="21"/>
      <c r="G7" s="20"/>
      <c r="H7" s="15">
        <v>3513514.9000000004</v>
      </c>
      <c r="I7" s="17">
        <f>(H7/3.6)*1000</f>
        <v>975976361.11111128</v>
      </c>
    </row>
    <row r="8" spans="1:9">
      <c r="A8" s="29">
        <f t="shared" si="1"/>
        <v>5</v>
      </c>
      <c r="B8" s="15">
        <f>851569095/1000</f>
        <v>851569.09499999997</v>
      </c>
      <c r="C8" s="16">
        <f t="shared" si="0"/>
        <v>236546970.83333331</v>
      </c>
      <c r="D8" s="3" t="s">
        <v>14</v>
      </c>
      <c r="E8" s="33"/>
      <c r="F8" s="21"/>
      <c r="G8" s="3"/>
      <c r="H8" s="15">
        <v>2655095.4340177737</v>
      </c>
      <c r="I8" s="17">
        <f>(H8/3.6)*1000</f>
        <v>737526509.44938159</v>
      </c>
    </row>
    <row r="9" spans="1:9">
      <c r="A9" s="8">
        <f t="shared" si="1"/>
        <v>6</v>
      </c>
      <c r="B9" s="15">
        <f>792420552/1000</f>
        <v>792420.55200000003</v>
      </c>
      <c r="C9" s="16">
        <f t="shared" si="0"/>
        <v>220116820</v>
      </c>
      <c r="D9" s="3" t="s">
        <v>14</v>
      </c>
      <c r="E9" s="33"/>
      <c r="F9" s="21"/>
      <c r="G9" s="3"/>
      <c r="H9" s="15">
        <v>1796317.6</v>
      </c>
      <c r="I9" s="17">
        <f t="shared" ref="I9:I27" si="2">(H9/3.6)*1000</f>
        <v>498977111.1111111</v>
      </c>
    </row>
    <row r="10" spans="1:9">
      <c r="A10" s="32">
        <f t="shared" si="1"/>
        <v>7</v>
      </c>
      <c r="B10" s="15">
        <f>158171883/1000</f>
        <v>158171.883</v>
      </c>
      <c r="C10" s="16">
        <f t="shared" si="0"/>
        <v>43936634.166666664</v>
      </c>
      <c r="D10" s="3" t="s">
        <v>14</v>
      </c>
      <c r="E10" s="22"/>
      <c r="F10" s="21"/>
      <c r="G10" s="16"/>
      <c r="H10" s="15">
        <v>996655.50000000012</v>
      </c>
      <c r="I10" s="17">
        <f t="shared" si="2"/>
        <v>276848750</v>
      </c>
    </row>
    <row r="11" spans="1:9">
      <c r="A11" s="32">
        <f t="shared" si="1"/>
        <v>8</v>
      </c>
      <c r="B11" s="15">
        <f>157828009/1000</f>
        <v>157828.00899999999</v>
      </c>
      <c r="C11" s="16">
        <f t="shared" si="0"/>
        <v>43841113.611111104</v>
      </c>
      <c r="D11" s="3" t="s">
        <v>14</v>
      </c>
      <c r="E11" s="24"/>
      <c r="F11" s="16"/>
      <c r="G11" s="3"/>
      <c r="H11" s="15">
        <v>835896.20655234391</v>
      </c>
      <c r="I11" s="17">
        <f t="shared" si="2"/>
        <v>232193390.7089844</v>
      </c>
    </row>
    <row r="12" spans="1:9">
      <c r="A12" s="29">
        <f t="shared" si="1"/>
        <v>9</v>
      </c>
      <c r="B12" s="15">
        <f>475358164/1000</f>
        <v>475358.16399999999</v>
      </c>
      <c r="C12" s="16">
        <f t="shared" si="0"/>
        <v>132043934.44444443</v>
      </c>
      <c r="D12" s="3" t="s">
        <v>14</v>
      </c>
      <c r="E12" s="27">
        <v>3150070.906</v>
      </c>
      <c r="F12" s="16">
        <f>(E12/3.6)*1000</f>
        <v>875019696.11111104</v>
      </c>
      <c r="G12" s="3" t="s">
        <v>14</v>
      </c>
      <c r="H12" s="15">
        <v>680608.10000000009</v>
      </c>
      <c r="I12" s="17">
        <f t="shared" si="2"/>
        <v>189057805.55555558</v>
      </c>
    </row>
    <row r="13" spans="1:9">
      <c r="A13" s="29">
        <f t="shared" si="1"/>
        <v>10</v>
      </c>
      <c r="B13" s="15">
        <v>634113.13100000005</v>
      </c>
      <c r="C13" s="16">
        <f t="shared" si="0"/>
        <v>176142536.3888889</v>
      </c>
      <c r="D13" s="3" t="s">
        <v>14</v>
      </c>
      <c r="E13" s="15"/>
      <c r="F13" s="16"/>
      <c r="G13" s="3"/>
      <c r="H13" s="15">
        <v>1228935.622913965</v>
      </c>
      <c r="I13" s="17">
        <f t="shared" si="2"/>
        <v>341371006.36499023</v>
      </c>
    </row>
    <row r="14" spans="1:9">
      <c r="A14" s="29">
        <f t="shared" si="1"/>
        <v>11</v>
      </c>
      <c r="B14" s="15">
        <v>633420.69799999997</v>
      </c>
      <c r="C14" s="16">
        <f t="shared" si="0"/>
        <v>175950193.88888887</v>
      </c>
      <c r="D14" s="3" t="s">
        <v>14</v>
      </c>
      <c r="E14" s="15"/>
      <c r="F14" s="16"/>
      <c r="G14" s="3"/>
      <c r="H14" s="15">
        <v>2717847.3438629881</v>
      </c>
      <c r="I14" s="17">
        <f t="shared" si="2"/>
        <v>754957595.51749671</v>
      </c>
    </row>
    <row r="15" spans="1:9">
      <c r="A15" s="29">
        <f t="shared" si="1"/>
        <v>12</v>
      </c>
      <c r="B15" s="15">
        <f>514470733/1000</f>
        <v>514470.73300000001</v>
      </c>
      <c r="C15" s="16">
        <f t="shared" si="0"/>
        <v>142908536.94444445</v>
      </c>
      <c r="D15" s="3" t="s">
        <v>14</v>
      </c>
      <c r="E15" s="24"/>
      <c r="F15" s="21"/>
      <c r="G15" s="9"/>
      <c r="H15" s="15">
        <v>2074905.5294654297</v>
      </c>
      <c r="I15" s="17">
        <f t="shared" si="2"/>
        <v>576362647.07373047</v>
      </c>
    </row>
    <row r="16" spans="1:9">
      <c r="A16" s="29">
        <f t="shared" si="1"/>
        <v>13</v>
      </c>
      <c r="B16" s="15">
        <v>514792.06699999998</v>
      </c>
      <c r="C16" s="16">
        <f>(B16/3.6)*1000</f>
        <v>142997796.38888887</v>
      </c>
      <c r="D16" s="3" t="s">
        <v>14</v>
      </c>
      <c r="E16" s="24"/>
      <c r="F16" s="21"/>
      <c r="G16" s="9"/>
      <c r="H16" s="15">
        <v>1555251.7821704103</v>
      </c>
      <c r="I16" s="17">
        <f t="shared" si="2"/>
        <v>432014383.93622512</v>
      </c>
    </row>
    <row r="17" spans="1:9">
      <c r="A17" s="32">
        <f t="shared" si="1"/>
        <v>14</v>
      </c>
      <c r="B17" s="15">
        <v>237595.277</v>
      </c>
      <c r="C17" s="16">
        <f>(B17/3.6)*1000</f>
        <v>65998688.055555552</v>
      </c>
      <c r="D17" s="3" t="s">
        <v>14</v>
      </c>
      <c r="E17" s="24">
        <v>3463436.35</v>
      </c>
      <c r="F17" s="16">
        <f>(E17/3.6)*1000</f>
        <v>962065652.77777779</v>
      </c>
      <c r="G17" s="3" t="s">
        <v>14</v>
      </c>
      <c r="H17" s="15">
        <v>1032583.8328481935</v>
      </c>
      <c r="I17" s="17">
        <f t="shared" si="2"/>
        <v>286828842.4578315</v>
      </c>
    </row>
    <row r="18" spans="1:9">
      <c r="A18" s="32">
        <f t="shared" si="1"/>
        <v>15</v>
      </c>
      <c r="B18" s="15">
        <v>237215.89600000001</v>
      </c>
      <c r="C18" s="16">
        <f>(B18/3.6)*1000</f>
        <v>65893304.44444444</v>
      </c>
      <c r="D18" s="3" t="s">
        <v>14</v>
      </c>
      <c r="E18" s="24"/>
      <c r="F18" s="21"/>
      <c r="G18" s="9"/>
      <c r="H18" s="15">
        <v>2269905.650567383</v>
      </c>
      <c r="I18" s="17">
        <f t="shared" si="2"/>
        <v>630529347.37982857</v>
      </c>
    </row>
    <row r="19" spans="1:9">
      <c r="A19" s="29">
        <f t="shared" si="1"/>
        <v>16</v>
      </c>
      <c r="B19" s="15">
        <v>847034.30500000005</v>
      </c>
      <c r="C19" s="16">
        <f>(B19/3.6)*1000</f>
        <v>235287306.94444445</v>
      </c>
      <c r="D19" s="3" t="s">
        <v>14</v>
      </c>
      <c r="E19" s="24"/>
      <c r="F19" s="21"/>
      <c r="G19" s="9"/>
      <c r="H19" s="15">
        <v>4033972.4023705083</v>
      </c>
      <c r="I19" s="17">
        <f t="shared" si="2"/>
        <v>1120547889.5473633</v>
      </c>
    </row>
    <row r="20" spans="1:9">
      <c r="A20" s="29">
        <f t="shared" si="1"/>
        <v>17</v>
      </c>
      <c r="B20" s="15">
        <f>570371883/1000</f>
        <v>570371.88300000003</v>
      </c>
      <c r="C20" s="16">
        <f>(B20/3.6)*1000</f>
        <v>158436634.16666669</v>
      </c>
      <c r="D20" s="3" t="s">
        <v>14</v>
      </c>
      <c r="E20" s="24"/>
      <c r="F20" s="21"/>
      <c r="G20" s="20"/>
      <c r="H20" s="15">
        <v>3173882.2830840824</v>
      </c>
      <c r="I20" s="17">
        <f t="shared" si="2"/>
        <v>881633967.5233562</v>
      </c>
    </row>
    <row r="21" spans="1:9">
      <c r="A21" s="29">
        <f t="shared" si="1"/>
        <v>18</v>
      </c>
      <c r="B21" s="15">
        <v>458924.00900000002</v>
      </c>
      <c r="C21" s="16">
        <f t="shared" ref="C21:C27" si="3">(B21/3.6)*1000</f>
        <v>127478891.3888889</v>
      </c>
      <c r="D21" s="3" t="s">
        <v>14</v>
      </c>
      <c r="E21" s="23"/>
      <c r="F21" s="21"/>
      <c r="G21" s="3"/>
      <c r="H21" s="15">
        <v>2600529.4723955081</v>
      </c>
      <c r="I21" s="17">
        <f t="shared" si="2"/>
        <v>722369297.88764107</v>
      </c>
    </row>
    <row r="22" spans="1:9">
      <c r="A22" s="29">
        <f t="shared" si="1"/>
        <v>19</v>
      </c>
      <c r="B22" s="15">
        <v>467339.76400000002</v>
      </c>
      <c r="C22" s="16">
        <f t="shared" si="3"/>
        <v>129816601.11111112</v>
      </c>
      <c r="D22" s="3" t="s">
        <v>14</v>
      </c>
      <c r="E22" s="15"/>
      <c r="F22" s="16"/>
      <c r="G22" s="3"/>
      <c r="H22" s="15">
        <v>2137380.8000000003</v>
      </c>
      <c r="I22" s="17">
        <f t="shared" si="2"/>
        <v>593716888.88888896</v>
      </c>
    </row>
    <row r="23" spans="1:9">
      <c r="A23" s="29">
        <f t="shared" si="1"/>
        <v>20</v>
      </c>
      <c r="B23" s="15">
        <f>467089041/1000</f>
        <v>467089.04100000003</v>
      </c>
      <c r="C23" s="16">
        <f t="shared" si="3"/>
        <v>129746955.83333334</v>
      </c>
      <c r="D23" s="3" t="s">
        <v>14</v>
      </c>
      <c r="E23" s="15"/>
      <c r="F23" s="21"/>
      <c r="G23" s="3"/>
      <c r="H23" s="15">
        <v>1664562.9000000001</v>
      </c>
      <c r="I23" s="17">
        <f t="shared" si="2"/>
        <v>462378583.33333337</v>
      </c>
    </row>
    <row r="24" spans="1:9">
      <c r="A24" s="32">
        <f t="shared" si="1"/>
        <v>21</v>
      </c>
      <c r="B24" s="15">
        <f>633316565/1000</f>
        <v>633316.56499999994</v>
      </c>
      <c r="C24" s="16">
        <f t="shared" si="3"/>
        <v>175921268.05555552</v>
      </c>
      <c r="D24" s="3" t="s">
        <v>14</v>
      </c>
      <c r="E24" s="27">
        <v>3184006.452</v>
      </c>
      <c r="F24" s="16">
        <f>(E24/3.6)*1000</f>
        <v>884446236.66666675</v>
      </c>
      <c r="G24" s="3" t="s">
        <v>14</v>
      </c>
      <c r="H24" s="15">
        <v>1187176.1123976565</v>
      </c>
      <c r="I24" s="17">
        <f t="shared" si="2"/>
        <v>329771142.33268237</v>
      </c>
    </row>
    <row r="25" spans="1:9">
      <c r="A25" s="32">
        <f t="shared" si="1"/>
        <v>22</v>
      </c>
      <c r="B25" s="15">
        <f>632912501/1000</f>
        <v>632912.50100000005</v>
      </c>
      <c r="C25" s="16">
        <f t="shared" si="3"/>
        <v>175809028.05555555</v>
      </c>
      <c r="D25" s="3" t="s">
        <v>14</v>
      </c>
      <c r="E25" s="19"/>
      <c r="F25" s="16"/>
      <c r="G25" s="3"/>
      <c r="H25" s="15">
        <v>2213657.3000000003</v>
      </c>
      <c r="I25" s="17">
        <f t="shared" si="2"/>
        <v>614904805.55555558</v>
      </c>
    </row>
    <row r="26" spans="1:9">
      <c r="A26" s="29">
        <f t="shared" si="1"/>
        <v>23</v>
      </c>
      <c r="B26" s="15">
        <f>851132996/1000</f>
        <v>851132.99600000004</v>
      </c>
      <c r="C26" s="16">
        <f t="shared" si="3"/>
        <v>236425832.22222224</v>
      </c>
      <c r="D26" s="3" t="s">
        <v>14</v>
      </c>
      <c r="E26" s="15"/>
      <c r="F26" s="16"/>
      <c r="G26" s="3"/>
      <c r="H26" s="15">
        <v>3103477.5</v>
      </c>
      <c r="I26" s="17">
        <f t="shared" si="2"/>
        <v>862077083.33333325</v>
      </c>
    </row>
    <row r="27" spans="1:9">
      <c r="A27" s="29">
        <f t="shared" si="1"/>
        <v>24</v>
      </c>
      <c r="B27" s="15">
        <v>811556.91599999997</v>
      </c>
      <c r="C27" s="16">
        <f t="shared" si="3"/>
        <v>225432476.66666666</v>
      </c>
      <c r="D27" s="3" t="s">
        <v>14</v>
      </c>
      <c r="E27" s="15"/>
      <c r="F27" s="16"/>
      <c r="G27" s="3"/>
      <c r="H27" s="15">
        <v>2240125.4567044922</v>
      </c>
      <c r="I27" s="17">
        <f t="shared" si="2"/>
        <v>622257071.30680335</v>
      </c>
    </row>
    <row r="28" spans="1:9">
      <c r="A28" s="29">
        <f t="shared" si="1"/>
        <v>25</v>
      </c>
      <c r="B28" s="15">
        <f>831298976/1000</f>
        <v>831298.97600000002</v>
      </c>
      <c r="C28" s="16">
        <f t="shared" ref="C28:C34" si="4">(B28/3.6)*1000</f>
        <v>230916382.22222221</v>
      </c>
      <c r="D28" s="3" t="s">
        <v>14</v>
      </c>
      <c r="E28" s="15"/>
      <c r="F28" s="16"/>
      <c r="G28" s="3"/>
      <c r="H28" s="15">
        <v>1423105</v>
      </c>
      <c r="I28" s="17">
        <f t="shared" ref="I28:I34" si="5">(H28/3.6)*1000</f>
        <v>395306944.44444442</v>
      </c>
    </row>
    <row r="29" spans="1:9">
      <c r="A29" s="29">
        <f t="shared" si="1"/>
        <v>26</v>
      </c>
      <c r="B29" s="15">
        <f>633273498/1000</f>
        <v>633273.49800000002</v>
      </c>
      <c r="C29" s="16">
        <f t="shared" si="4"/>
        <v>175909305</v>
      </c>
      <c r="D29" s="3" t="s">
        <v>14</v>
      </c>
      <c r="E29" s="27">
        <v>3317369.2398200002</v>
      </c>
      <c r="F29" s="16">
        <f>(E29/3.6)*1000</f>
        <v>921491455.50555563</v>
      </c>
      <c r="G29" s="3" t="s">
        <v>14</v>
      </c>
      <c r="H29" s="15">
        <v>580641.30000000005</v>
      </c>
      <c r="I29" s="17">
        <f t="shared" si="5"/>
        <v>161289250</v>
      </c>
    </row>
    <row r="30" spans="1:9">
      <c r="A30" s="29">
        <f t="shared" si="1"/>
        <v>27</v>
      </c>
      <c r="B30" s="15">
        <f>830942555/1000</f>
        <v>830942.55500000005</v>
      </c>
      <c r="C30" s="16">
        <f t="shared" si="4"/>
        <v>230817376.3888889</v>
      </c>
      <c r="D30" s="3" t="s">
        <v>14</v>
      </c>
      <c r="E30" s="15"/>
      <c r="F30" s="16"/>
      <c r="G30" s="3"/>
      <c r="H30" s="15">
        <v>1355480.4000000001</v>
      </c>
      <c r="I30" s="17">
        <f t="shared" si="5"/>
        <v>376522333.33333337</v>
      </c>
    </row>
    <row r="31" spans="1:9">
      <c r="A31" s="32">
        <f t="shared" si="1"/>
        <v>28</v>
      </c>
      <c r="B31" s="15">
        <f>633668606/1000</f>
        <v>633668.60600000003</v>
      </c>
      <c r="C31" s="16">
        <f t="shared" si="4"/>
        <v>176019057.22222224</v>
      </c>
      <c r="D31" s="3" t="s">
        <v>14</v>
      </c>
      <c r="E31" s="27">
        <v>3464923.1379999998</v>
      </c>
      <c r="F31" s="16">
        <f>(E31/3.6)*1000</f>
        <v>962478649.4444443</v>
      </c>
      <c r="G31" s="3" t="s">
        <v>14</v>
      </c>
      <c r="H31" s="15">
        <v>2449957.8000000003</v>
      </c>
      <c r="I31" s="17">
        <f t="shared" si="5"/>
        <v>680543833.33333337</v>
      </c>
    </row>
    <row r="32" spans="1:9">
      <c r="A32" s="32">
        <f t="shared" si="1"/>
        <v>29</v>
      </c>
      <c r="B32" s="15">
        <f>633712449/1000</f>
        <v>633712.44900000002</v>
      </c>
      <c r="C32" s="16">
        <f t="shared" si="4"/>
        <v>176031235.83333334</v>
      </c>
      <c r="D32" s="3" t="s">
        <v>14</v>
      </c>
      <c r="E32" s="15"/>
      <c r="F32" s="16"/>
      <c r="G32" s="3"/>
      <c r="H32" s="15">
        <v>4620210.7126357425</v>
      </c>
      <c r="I32" s="17">
        <f t="shared" si="5"/>
        <v>1283391864.6210394</v>
      </c>
    </row>
    <row r="33" spans="1:10">
      <c r="A33" s="29">
        <f t="shared" si="1"/>
        <v>30</v>
      </c>
      <c r="B33" s="15">
        <f>831387181/1000</f>
        <v>831387.18099999998</v>
      </c>
      <c r="C33" s="16">
        <f t="shared" si="4"/>
        <v>230940883.61111107</v>
      </c>
      <c r="D33" s="3" t="s">
        <v>14</v>
      </c>
      <c r="E33" s="15"/>
      <c r="F33" s="16"/>
      <c r="G33" s="3"/>
      <c r="H33" s="15">
        <v>4648890</v>
      </c>
      <c r="I33" s="17">
        <f t="shared" si="5"/>
        <v>1291358333.3333333</v>
      </c>
    </row>
    <row r="34" spans="1:10">
      <c r="A34" s="29">
        <f t="shared" si="1"/>
        <v>31</v>
      </c>
      <c r="B34" s="15">
        <f>831605799/1000</f>
        <v>831605.799</v>
      </c>
      <c r="C34" s="16">
        <f t="shared" si="4"/>
        <v>231001610.83333334</v>
      </c>
      <c r="D34" s="3" t="s">
        <v>14</v>
      </c>
      <c r="E34" s="15"/>
      <c r="F34" s="16"/>
      <c r="G34" s="3"/>
      <c r="H34" s="15">
        <v>3803847.6</v>
      </c>
      <c r="I34" s="17">
        <f t="shared" si="5"/>
        <v>1056624333.3333333</v>
      </c>
    </row>
    <row r="35" spans="1:10" ht="30" customHeight="1">
      <c r="A35" s="7" t="s">
        <v>3</v>
      </c>
      <c r="B35" s="163" t="s">
        <v>17</v>
      </c>
      <c r="C35" s="163"/>
      <c r="D35" s="163"/>
      <c r="E35" s="164"/>
      <c r="F35" s="164"/>
      <c r="G35" s="164"/>
      <c r="H35" s="164"/>
      <c r="I35" s="46"/>
      <c r="J35" s="46"/>
    </row>
    <row r="36" spans="1:10" ht="30" customHeight="1">
      <c r="A36" s="7" t="s">
        <v>4</v>
      </c>
      <c r="B36" s="165" t="s">
        <v>13</v>
      </c>
      <c r="C36" s="165"/>
      <c r="D36" s="165"/>
      <c r="E36" s="165"/>
      <c r="F36" s="165"/>
      <c r="G36" s="165"/>
      <c r="H36" s="165"/>
      <c r="I36" s="43"/>
      <c r="J36" s="46"/>
    </row>
    <row r="37" spans="1:10" ht="30" customHeight="1">
      <c r="A37" s="7" t="s">
        <v>5</v>
      </c>
      <c r="B37" s="165" t="s">
        <v>18</v>
      </c>
      <c r="C37" s="165"/>
      <c r="D37" s="165"/>
      <c r="E37" s="166"/>
      <c r="F37" s="166"/>
      <c r="G37" s="166"/>
      <c r="H37" s="166"/>
      <c r="I37" s="44"/>
      <c r="J37" s="44"/>
    </row>
    <row r="38" spans="1:10" ht="30" customHeight="1">
      <c r="A38" s="7" t="s">
        <v>6</v>
      </c>
      <c r="B38" s="165" t="s">
        <v>0</v>
      </c>
      <c r="C38" s="165"/>
      <c r="D38" s="165"/>
      <c r="E38" s="165"/>
      <c r="F38" s="165"/>
      <c r="G38" s="165"/>
      <c r="H38" s="165"/>
      <c r="I38" s="43"/>
      <c r="J38" s="44"/>
    </row>
    <row r="39" spans="1:10" ht="30" customHeight="1">
      <c r="A39" s="7" t="s">
        <v>7</v>
      </c>
      <c r="B39" s="165" t="s">
        <v>16</v>
      </c>
      <c r="C39" s="165"/>
      <c r="D39" s="165"/>
      <c r="E39" s="166"/>
      <c r="F39" s="166"/>
      <c r="G39" s="166"/>
      <c r="H39" s="166"/>
      <c r="I39" s="44"/>
      <c r="J39" s="4"/>
    </row>
    <row r="40" spans="1:10" ht="30" customHeight="1">
      <c r="A40" s="28" t="s">
        <v>19</v>
      </c>
      <c r="B40" s="149" t="s">
        <v>20</v>
      </c>
      <c r="C40" s="150"/>
      <c r="D40" s="150"/>
      <c r="E40" s="150"/>
      <c r="F40" s="150"/>
      <c r="G40" s="150"/>
      <c r="H40" s="150"/>
      <c r="I40" s="45"/>
      <c r="J40" s="6"/>
    </row>
    <row r="41" spans="1:10">
      <c r="A41" s="1"/>
      <c r="B41" s="1"/>
      <c r="C41" s="1"/>
      <c r="D41" s="1"/>
      <c r="E41" s="1"/>
      <c r="F41" s="1"/>
      <c r="G41" s="1"/>
      <c r="H41" s="1"/>
      <c r="I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</row>
  </sheetData>
  <mergeCells count="13">
    <mergeCell ref="B40:H40"/>
    <mergeCell ref="A1:I1"/>
    <mergeCell ref="A2:A3"/>
    <mergeCell ref="B2:C2"/>
    <mergeCell ref="D2:D3"/>
    <mergeCell ref="E2:F2"/>
    <mergeCell ref="G2:G3"/>
    <mergeCell ref="H2:I2"/>
    <mergeCell ref="B35:H35"/>
    <mergeCell ref="B36:H36"/>
    <mergeCell ref="B37:H37"/>
    <mergeCell ref="B38:H38"/>
    <mergeCell ref="B39:H39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sqref="A1:I1"/>
    </sheetView>
  </sheetViews>
  <sheetFormatPr defaultRowHeight="15.95" customHeight="1"/>
  <cols>
    <col min="1" max="1" width="11.28515625" customWidth="1"/>
    <col min="2" max="2" width="17.28515625" customWidth="1"/>
    <col min="3" max="3" width="15.28515625" customWidth="1"/>
    <col min="4" max="4" width="19.5703125" customWidth="1"/>
    <col min="5" max="5" width="17" customWidth="1"/>
    <col min="6" max="6" width="14.7109375" customWidth="1"/>
    <col min="7" max="7" width="21.7109375" customWidth="1"/>
    <col min="8" max="8" width="17.140625" customWidth="1"/>
    <col min="9" max="9" width="16.140625" customWidth="1"/>
    <col min="11" max="11" width="17.7109375" bestFit="1" customWidth="1"/>
    <col min="12" max="12" width="13.42578125" bestFit="1" customWidth="1"/>
  </cols>
  <sheetData>
    <row r="1" spans="1:13" ht="58.9" customHeight="1" thickBot="1">
      <c r="A1" s="151" t="s">
        <v>56</v>
      </c>
      <c r="B1" s="151"/>
      <c r="C1" s="151"/>
      <c r="D1" s="151"/>
      <c r="E1" s="151"/>
      <c r="F1" s="151"/>
      <c r="G1" s="151"/>
      <c r="H1" s="151"/>
      <c r="I1" s="151"/>
    </row>
    <row r="2" spans="1:13" ht="12.75">
      <c r="A2" s="179" t="s">
        <v>11</v>
      </c>
      <c r="B2" s="169" t="s">
        <v>2</v>
      </c>
      <c r="C2" s="170"/>
      <c r="D2" s="171" t="s">
        <v>50</v>
      </c>
      <c r="E2" s="173" t="s">
        <v>8</v>
      </c>
      <c r="F2" s="174"/>
      <c r="G2" s="175" t="s">
        <v>9</v>
      </c>
      <c r="H2" s="177" t="s">
        <v>10</v>
      </c>
      <c r="I2" s="178"/>
    </row>
    <row r="3" spans="1:13" ht="12.75">
      <c r="A3" s="180"/>
      <c r="B3" s="5" t="s">
        <v>1</v>
      </c>
      <c r="C3" s="10" t="s">
        <v>29</v>
      </c>
      <c r="D3" s="172"/>
      <c r="E3" s="2" t="s">
        <v>1</v>
      </c>
      <c r="F3" s="11" t="s">
        <v>29</v>
      </c>
      <c r="G3" s="176"/>
      <c r="H3" s="12" t="s">
        <v>1</v>
      </c>
      <c r="I3" s="13" t="s">
        <v>29</v>
      </c>
    </row>
    <row r="4" spans="1:13" ht="12.75">
      <c r="A4" s="8">
        <v>1</v>
      </c>
      <c r="B4" s="134">
        <v>852714.47199999995</v>
      </c>
      <c r="C4" s="16">
        <f>224.313457*10^6</f>
        <v>224313457</v>
      </c>
      <c r="D4" s="3" t="s">
        <v>50</v>
      </c>
      <c r="E4" s="15"/>
      <c r="F4" s="16"/>
      <c r="G4" s="3"/>
      <c r="H4" s="15">
        <v>4090631.1291499999</v>
      </c>
      <c r="I4" s="17">
        <f>1076.07369261458*10^6</f>
        <v>1076073692.6145802</v>
      </c>
      <c r="K4" s="181"/>
      <c r="L4" s="144"/>
      <c r="M4" s="135"/>
    </row>
    <row r="5" spans="1:13" ht="12.75">
      <c r="A5" s="8">
        <f>A4+1</f>
        <v>2</v>
      </c>
      <c r="B5" s="134">
        <v>753895.01899999997</v>
      </c>
      <c r="C5" s="16">
        <f>198.318199*10^6</f>
        <v>198318199</v>
      </c>
      <c r="D5" s="3" t="s">
        <v>50</v>
      </c>
      <c r="E5" s="15"/>
      <c r="F5" s="16"/>
      <c r="G5" s="3"/>
      <c r="H5" s="15">
        <v>3329742.1695500002</v>
      </c>
      <c r="I5" s="17">
        <f>875.91568115473*10^6</f>
        <v>875915681.15472996</v>
      </c>
      <c r="K5" s="181"/>
      <c r="L5" s="135"/>
      <c r="M5" s="135"/>
    </row>
    <row r="6" spans="1:13" ht="12.75">
      <c r="A6" s="18">
        <f>A5+1</f>
        <v>3</v>
      </c>
      <c r="B6" s="134">
        <v>674554.69099999999</v>
      </c>
      <c r="C6" s="16">
        <f>177.447082*10^6</f>
        <v>177447082</v>
      </c>
      <c r="D6" s="3" t="s">
        <v>50</v>
      </c>
      <c r="E6" s="15"/>
      <c r="F6" s="16"/>
      <c r="G6" s="3"/>
      <c r="H6" s="15">
        <v>2651515.87255</v>
      </c>
      <c r="I6" s="17">
        <f>697.502753467272*10^6</f>
        <v>697502753.46727204</v>
      </c>
      <c r="K6" s="181"/>
      <c r="L6" s="135"/>
      <c r="M6" s="135"/>
    </row>
    <row r="7" spans="1:13" ht="12.75">
      <c r="A7" s="18">
        <f t="shared" ref="A7:A33" si="0">A6+1</f>
        <v>4</v>
      </c>
      <c r="B7" s="134">
        <v>753376.14300000004</v>
      </c>
      <c r="C7" s="16">
        <f>198.181704*10^6</f>
        <v>198181704</v>
      </c>
      <c r="D7" s="3" t="s">
        <v>50</v>
      </c>
      <c r="E7" s="15"/>
      <c r="F7" s="16"/>
      <c r="G7" s="3"/>
      <c r="H7" s="15">
        <v>4409753.1589500001</v>
      </c>
      <c r="I7" s="17">
        <f>1160.02133056084*10^6</f>
        <v>1160021330.5608399</v>
      </c>
      <c r="K7" s="181"/>
      <c r="L7" s="135"/>
      <c r="M7" s="135"/>
    </row>
    <row r="8" spans="1:13" ht="12.75">
      <c r="A8" s="8">
        <f t="shared" si="0"/>
        <v>5</v>
      </c>
      <c r="B8" s="134">
        <v>852907.24300000002</v>
      </c>
      <c r="C8" s="16">
        <v>224364167</v>
      </c>
      <c r="D8" s="3" t="s">
        <v>50</v>
      </c>
      <c r="E8" s="15">
        <v>3531336.307</v>
      </c>
      <c r="F8" s="16">
        <v>980926752</v>
      </c>
      <c r="G8" s="3" t="s">
        <v>50</v>
      </c>
      <c r="H8" s="15">
        <v>4565696.8</v>
      </c>
      <c r="I8" s="17">
        <v>1201043399</v>
      </c>
      <c r="K8" s="181"/>
      <c r="L8" s="135"/>
      <c r="M8" s="135"/>
    </row>
    <row r="9" spans="1:13" ht="12.75">
      <c r="A9" s="8">
        <f t="shared" si="0"/>
        <v>6</v>
      </c>
      <c r="B9" s="134">
        <v>849725.62399999995</v>
      </c>
      <c r="C9" s="16">
        <f>223.527216*10^6</f>
        <v>223527216</v>
      </c>
      <c r="D9" s="3" t="s">
        <v>50</v>
      </c>
      <c r="E9" s="15"/>
      <c r="F9" s="16"/>
      <c r="G9" s="3"/>
      <c r="H9" s="15">
        <v>3711965.0003999998</v>
      </c>
      <c r="I9" s="17">
        <f>976.462496550384*10^6</f>
        <v>976462496.55038404</v>
      </c>
      <c r="K9" s="181"/>
      <c r="L9" s="144"/>
      <c r="M9" s="135"/>
    </row>
    <row r="10" spans="1:13" ht="12.75">
      <c r="A10" s="8">
        <f t="shared" si="0"/>
        <v>7</v>
      </c>
      <c r="B10" s="134">
        <v>770013.77800000005</v>
      </c>
      <c r="C10" s="16">
        <f>202.558369*10^6</f>
        <v>202558369</v>
      </c>
      <c r="D10" s="3" t="s">
        <v>50</v>
      </c>
      <c r="E10" s="15"/>
      <c r="F10" s="16"/>
      <c r="G10" s="3"/>
      <c r="H10" s="15">
        <v>2934151.0446000001</v>
      </c>
      <c r="I10" s="17">
        <f>771.852227582235*10^6</f>
        <v>771852227.58223498</v>
      </c>
      <c r="K10" s="181"/>
      <c r="L10" s="144"/>
      <c r="M10" s="135"/>
    </row>
    <row r="11" spans="1:13" ht="12.75">
      <c r="A11" s="8">
        <f t="shared" si="0"/>
        <v>8</v>
      </c>
      <c r="B11" s="134">
        <v>770802.69900000002</v>
      </c>
      <c r="C11" s="16">
        <v>202765901</v>
      </c>
      <c r="D11" s="3" t="s">
        <v>50</v>
      </c>
      <c r="E11" s="15">
        <v>3313610.1150000002</v>
      </c>
      <c r="F11" s="16">
        <v>980926752</v>
      </c>
      <c r="G11" s="3" t="s">
        <v>50</v>
      </c>
      <c r="H11" s="15">
        <v>3285406.0382000003</v>
      </c>
      <c r="I11" s="17">
        <v>864252702.24713302</v>
      </c>
      <c r="K11" s="181"/>
      <c r="L11" s="144"/>
      <c r="M11" s="135"/>
    </row>
    <row r="12" spans="1:13" ht="12.75">
      <c r="A12" s="8">
        <f t="shared" si="0"/>
        <v>9</v>
      </c>
      <c r="B12" s="134">
        <f>828552390/1000</f>
        <v>828552.39</v>
      </c>
      <c r="C12" s="16">
        <v>217957426</v>
      </c>
      <c r="D12" s="3" t="s">
        <v>50</v>
      </c>
      <c r="H12" s="15">
        <v>4652344.7711500004</v>
      </c>
      <c r="I12" s="17">
        <f>1223.83702151306*10^6</f>
        <v>1223837021.5130601</v>
      </c>
      <c r="K12" s="181"/>
      <c r="L12" s="144"/>
      <c r="M12" s="135"/>
    </row>
    <row r="13" spans="1:13" ht="12.75">
      <c r="A13" s="18">
        <f t="shared" si="0"/>
        <v>10</v>
      </c>
      <c r="B13" s="134">
        <f>712669846/1000</f>
        <v>712669.84600000002</v>
      </c>
      <c r="C13" s="16">
        <v>187473583</v>
      </c>
      <c r="D13" s="3" t="s">
        <v>50</v>
      </c>
      <c r="E13" s="15"/>
      <c r="F13" s="16"/>
      <c r="G13" s="3"/>
      <c r="H13" s="15">
        <v>3929537.0529999998</v>
      </c>
      <c r="I13" s="17">
        <f>1033.69658944687*10^6</f>
        <v>1033696589.4468699</v>
      </c>
      <c r="K13" s="181"/>
      <c r="L13" s="135"/>
      <c r="M13" s="135"/>
    </row>
    <row r="14" spans="1:13" ht="12.75">
      <c r="A14" s="18">
        <f t="shared" si="0"/>
        <v>11</v>
      </c>
      <c r="B14" s="134">
        <f>685489456/1000</f>
        <v>685489.45600000001</v>
      </c>
      <c r="C14" s="16">
        <v>180323561</v>
      </c>
      <c r="D14" s="3" t="s">
        <v>50</v>
      </c>
      <c r="E14" s="15"/>
      <c r="F14" s="16"/>
      <c r="G14" s="3"/>
      <c r="H14" s="15">
        <v>3235305.5965500004</v>
      </c>
      <c r="I14" s="17">
        <f>851.073374767869*10^6</f>
        <v>851073374.767869</v>
      </c>
      <c r="K14" s="181"/>
      <c r="L14" s="135"/>
      <c r="M14" s="135"/>
    </row>
    <row r="15" spans="1:13" ht="12.75">
      <c r="A15" s="8">
        <f t="shared" si="0"/>
        <v>12</v>
      </c>
      <c r="B15" s="134">
        <v>769238.47699999996</v>
      </c>
      <c r="C15" s="16">
        <f>202.35442*10^6</f>
        <v>202354420</v>
      </c>
      <c r="D15" s="3" t="s">
        <v>50</v>
      </c>
      <c r="E15" s="15"/>
      <c r="F15" s="16"/>
      <c r="G15" s="3"/>
      <c r="H15" s="15">
        <v>2451727.3304499998</v>
      </c>
      <c r="I15" s="17">
        <f>644.946757228055*10^6</f>
        <v>644946757.228055</v>
      </c>
      <c r="K15" s="181"/>
      <c r="L15" s="135"/>
      <c r="M15" s="135"/>
    </row>
    <row r="16" spans="1:13" ht="12.75">
      <c r="A16" s="8">
        <f t="shared" si="0"/>
        <v>13</v>
      </c>
      <c r="B16" s="134">
        <v>769417.27399999998</v>
      </c>
      <c r="C16" s="16">
        <f>202.401454*10^6</f>
        <v>202401454</v>
      </c>
      <c r="D16" s="3" t="s">
        <v>50</v>
      </c>
      <c r="E16" s="15"/>
      <c r="F16" s="16"/>
      <c r="G16" s="3"/>
      <c r="H16" s="15">
        <v>1804100.9360000002</v>
      </c>
      <c r="I16" s="17">
        <f>474.583382064651*10^6</f>
        <v>474583382.06465101</v>
      </c>
      <c r="K16" s="181"/>
      <c r="L16" s="135"/>
      <c r="M16" s="135"/>
    </row>
    <row r="17" spans="1:13" ht="12.75">
      <c r="A17" s="8">
        <f t="shared" si="0"/>
        <v>14</v>
      </c>
      <c r="B17" s="134">
        <v>852159.77899999998</v>
      </c>
      <c r="C17" s="16">
        <f>224.167541*10^6</f>
        <v>224167541</v>
      </c>
      <c r="D17" s="3" t="s">
        <v>50</v>
      </c>
      <c r="E17" s="15">
        <v>3550847.409</v>
      </c>
      <c r="F17" s="16">
        <f>E17/3.6*1000</f>
        <v>986346502.5</v>
      </c>
      <c r="G17" s="3" t="s">
        <v>50</v>
      </c>
      <c r="H17" s="15">
        <v>4328378.2678000005</v>
      </c>
      <c r="I17" s="17">
        <f>1138.6150055119*10^6</f>
        <v>1138615005.5119002</v>
      </c>
      <c r="K17" s="181"/>
      <c r="L17" s="135"/>
      <c r="M17" s="135"/>
    </row>
    <row r="18" spans="1:13" ht="12.75">
      <c r="A18" s="8">
        <f t="shared" si="0"/>
        <v>15</v>
      </c>
      <c r="B18" s="134">
        <v>876542.95400000003</v>
      </c>
      <c r="C18" s="16">
        <f>230.581733*10^6</f>
        <v>230581733</v>
      </c>
      <c r="D18" s="3" t="s">
        <v>50</v>
      </c>
      <c r="E18" s="15"/>
      <c r="F18" s="16"/>
      <c r="G18" s="3"/>
      <c r="H18" s="15">
        <v>3445151.0204499997</v>
      </c>
      <c r="I18" s="17">
        <f>906.274915323609*10^6</f>
        <v>906274915.32360899</v>
      </c>
      <c r="K18" s="181"/>
      <c r="L18" s="135"/>
      <c r="M18" s="135"/>
    </row>
    <row r="19" spans="1:13" ht="12.75">
      <c r="A19" s="8">
        <f t="shared" si="0"/>
        <v>16</v>
      </c>
      <c r="B19" s="134">
        <f>864424213/1000</f>
        <v>864424.21299999999</v>
      </c>
      <c r="C19" s="16">
        <f>227.3938*10^6</f>
        <v>227393800</v>
      </c>
      <c r="D19" s="3" t="s">
        <v>50</v>
      </c>
      <c r="E19" s="15">
        <v>3338216.9339999999</v>
      </c>
      <c r="F19" s="16">
        <f>E19/3.6*1000</f>
        <v>927282481.66666663</v>
      </c>
      <c r="G19" s="3" t="s">
        <v>50</v>
      </c>
      <c r="H19" s="15">
        <v>4305872.9286500001</v>
      </c>
      <c r="I19" s="17">
        <f>1132.69479353529*10^6</f>
        <v>1132694793.53529</v>
      </c>
      <c r="K19" s="181"/>
      <c r="L19" s="135"/>
      <c r="M19" s="135"/>
    </row>
    <row r="20" spans="1:13" ht="12.75">
      <c r="A20" s="18">
        <f t="shared" si="0"/>
        <v>17</v>
      </c>
      <c r="B20" s="134">
        <f>853081552/1000</f>
        <v>853081.55200000003</v>
      </c>
      <c r="C20" s="16">
        <f>224.410021*10^6</f>
        <v>224410021</v>
      </c>
      <c r="D20" s="3" t="s">
        <v>50</v>
      </c>
      <c r="E20" s="15"/>
      <c r="F20" s="16"/>
      <c r="G20" s="3"/>
      <c r="H20" s="15">
        <v>5085035.9783500005</v>
      </c>
      <c r="I20" s="17">
        <f>1337.65995259468*10^6</f>
        <v>1337659952.5946798</v>
      </c>
      <c r="K20" s="181"/>
      <c r="L20" s="135"/>
      <c r="M20" s="135"/>
    </row>
    <row r="21" spans="1:13" ht="12.75">
      <c r="A21" s="18">
        <f t="shared" si="0"/>
        <v>18</v>
      </c>
      <c r="B21" s="134">
        <f>819488824/1000</f>
        <v>819488.82400000002</v>
      </c>
      <c r="C21" s="16">
        <f>215.573181*10^6</f>
        <v>215573181</v>
      </c>
      <c r="D21" s="3" t="s">
        <v>50</v>
      </c>
      <c r="E21" s="15"/>
      <c r="F21" s="16"/>
      <c r="G21" s="3"/>
      <c r="H21" s="15">
        <v>4262824.5687500006</v>
      </c>
      <c r="I21" s="17">
        <f>1121.37057335115*10^6</f>
        <v>1121370573.3511498</v>
      </c>
      <c r="K21" s="181"/>
      <c r="L21" s="135"/>
      <c r="M21" s="135"/>
    </row>
    <row r="22" spans="1:13" ht="12.75">
      <c r="A22" s="8">
        <f t="shared" si="0"/>
        <v>19</v>
      </c>
      <c r="B22" s="134">
        <f>871293852/1000</f>
        <v>871293.85199999996</v>
      </c>
      <c r="C22" s="16">
        <f>229.200914*10^6</f>
        <v>229200914</v>
      </c>
      <c r="D22" s="3" t="s">
        <v>50</v>
      </c>
      <c r="E22" s="15"/>
      <c r="F22" s="16"/>
      <c r="G22" s="3"/>
      <c r="H22" s="15">
        <v>3381253.0275500002</v>
      </c>
      <c r="I22" s="17">
        <f>889.466030093018*10^6</f>
        <v>889466030.09301805</v>
      </c>
      <c r="K22" s="181"/>
      <c r="L22" s="135"/>
      <c r="M22" s="135"/>
    </row>
    <row r="23" spans="1:13" ht="12.75">
      <c r="A23" s="8">
        <f t="shared" si="0"/>
        <v>20</v>
      </c>
      <c r="B23" s="134">
        <v>871956.98199999996</v>
      </c>
      <c r="C23" s="16">
        <f>229.375355*10^6</f>
        <v>229375355</v>
      </c>
      <c r="D23" s="3" t="s">
        <v>50</v>
      </c>
      <c r="E23" s="15"/>
      <c r="F23" s="16"/>
      <c r="G23" s="3"/>
      <c r="H23" s="15">
        <v>4007845.8216500008</v>
      </c>
      <c r="I23" s="17">
        <v>1054296346.10662</v>
      </c>
      <c r="K23" s="181"/>
      <c r="L23" s="135"/>
      <c r="M23" s="135"/>
    </row>
    <row r="24" spans="1:13" ht="12.75">
      <c r="A24" s="8">
        <f t="shared" si="0"/>
        <v>21</v>
      </c>
      <c r="B24" s="134">
        <v>866721.87600000005</v>
      </c>
      <c r="C24" s="16">
        <f>227.998218*10^6</f>
        <v>227998218</v>
      </c>
      <c r="D24" s="3" t="s">
        <v>50</v>
      </c>
      <c r="E24" s="15">
        <v>3380882.5260000001</v>
      </c>
      <c r="F24" s="16">
        <f>E24/3.6*1000</f>
        <v>939134035</v>
      </c>
      <c r="G24" s="3" t="s">
        <v>50</v>
      </c>
      <c r="H24" s="15">
        <v>5036407.2755000005</v>
      </c>
      <c r="I24" s="17">
        <v>1324867777.94222</v>
      </c>
      <c r="K24" s="181"/>
      <c r="L24" s="135"/>
      <c r="M24" s="135"/>
    </row>
    <row r="25" spans="1:13" ht="12.75">
      <c r="A25" s="8">
        <f t="shared" si="0"/>
        <v>22</v>
      </c>
      <c r="B25" s="134">
        <v>866416.10199999996</v>
      </c>
      <c r="C25" s="16">
        <f>227.917782*10^6</f>
        <v>227917782</v>
      </c>
      <c r="D25" s="3" t="s">
        <v>50</v>
      </c>
      <c r="E25" s="15"/>
      <c r="F25" s="16"/>
      <c r="G25" s="3"/>
      <c r="H25" s="15">
        <v>4156614.0853500003</v>
      </c>
      <c r="I25" s="17">
        <v>1093431044.3498199</v>
      </c>
      <c r="K25" s="181"/>
      <c r="L25" s="135"/>
      <c r="M25" s="135"/>
    </row>
    <row r="26" spans="1:13" ht="12.75">
      <c r="A26" s="8">
        <f t="shared" si="0"/>
        <v>23</v>
      </c>
      <c r="B26" s="134">
        <f>866720066/1000</f>
        <v>866720.06599999999</v>
      </c>
      <c r="C26" s="16">
        <f>227.997742*10^6</f>
        <v>227997742</v>
      </c>
      <c r="D26" s="3" t="s">
        <v>50</v>
      </c>
      <c r="E26" s="15"/>
      <c r="F26" s="16"/>
      <c r="G26" s="3"/>
      <c r="H26" s="15">
        <v>3278844.5360500002</v>
      </c>
      <c r="I26" s="17">
        <f>862.526645894279*10^6</f>
        <v>862526645.894279</v>
      </c>
      <c r="K26" s="181"/>
      <c r="L26" s="135"/>
      <c r="M26" s="135"/>
    </row>
    <row r="27" spans="1:13" ht="12.75">
      <c r="A27" s="18">
        <f t="shared" si="0"/>
        <v>24</v>
      </c>
      <c r="B27" s="134">
        <f>862997735/1000</f>
        <v>862997.73499999999</v>
      </c>
      <c r="C27" s="16">
        <f>227.018553*10^6</f>
        <v>227018553</v>
      </c>
      <c r="D27" s="3" t="s">
        <v>50</v>
      </c>
      <c r="E27" s="15">
        <v>3315605.2579999999</v>
      </c>
      <c r="F27" s="16">
        <f>E27/3.6*1000</f>
        <v>921001460.55555558</v>
      </c>
      <c r="G27" s="3" t="s">
        <v>50</v>
      </c>
      <c r="H27" s="15">
        <v>3508558.4337499999</v>
      </c>
      <c r="I27" s="17">
        <f>922.95474961193*10^6</f>
        <v>922954749.61193001</v>
      </c>
      <c r="K27" s="181"/>
      <c r="L27" s="135"/>
      <c r="M27" s="135"/>
    </row>
    <row r="28" spans="1:13" ht="12.75">
      <c r="A28" s="18">
        <f t="shared" si="0"/>
        <v>25</v>
      </c>
      <c r="B28" s="134">
        <f>787288177/1000</f>
        <v>787288.17700000003</v>
      </c>
      <c r="C28" s="16">
        <f>207.10254*10^6</f>
        <v>207102540</v>
      </c>
      <c r="D28" s="3" t="s">
        <v>50</v>
      </c>
      <c r="E28" s="15"/>
      <c r="F28" s="16"/>
      <c r="G28" s="3"/>
      <c r="H28" s="15">
        <v>4954848.4170000004</v>
      </c>
      <c r="I28" s="17">
        <f>1303.41305878993*10^6</f>
        <v>1303413058.7899299</v>
      </c>
      <c r="K28" s="181"/>
      <c r="L28" s="135"/>
      <c r="M28" s="135"/>
    </row>
    <row r="29" spans="1:13" ht="12.75">
      <c r="A29" s="8">
        <f t="shared" si="0"/>
        <v>26</v>
      </c>
      <c r="B29" s="134">
        <f>866154191/1000</f>
        <v>866154.19099999999</v>
      </c>
      <c r="C29" s="16">
        <f>227.848884*10^6</f>
        <v>227848884</v>
      </c>
      <c r="D29" s="3" t="s">
        <v>50</v>
      </c>
      <c r="E29" s="15"/>
      <c r="F29" s="16"/>
      <c r="G29" s="3"/>
      <c r="H29" s="15">
        <v>4076281.6758500002</v>
      </c>
      <c r="I29" s="17">
        <f>1072.2989525532*10^6</f>
        <v>1072298952.5532</v>
      </c>
      <c r="K29" s="181"/>
      <c r="L29" s="135"/>
      <c r="M29" s="135"/>
    </row>
    <row r="30" spans="1:13" ht="12.75">
      <c r="A30" s="8">
        <f t="shared" si="0"/>
        <v>27</v>
      </c>
      <c r="B30" s="134">
        <f>848882533/1000</f>
        <v>848882.53300000005</v>
      </c>
      <c r="C30" s="16">
        <f>223305.434550668*10^3</f>
        <v>223305434.550668</v>
      </c>
      <c r="D30" s="3" t="s">
        <v>50</v>
      </c>
      <c r="E30" s="15"/>
      <c r="F30" s="16"/>
      <c r="G30" s="3"/>
      <c r="H30" s="15">
        <v>3216479.6044000001</v>
      </c>
      <c r="I30" s="17">
        <f>846.12104485828*10^6</f>
        <v>846121044.85828006</v>
      </c>
      <c r="K30" s="181"/>
      <c r="L30" s="135"/>
      <c r="M30" s="135"/>
    </row>
    <row r="31" spans="1:13" ht="12.75">
      <c r="A31" s="8">
        <f t="shared" si="0"/>
        <v>28</v>
      </c>
      <c r="B31" s="134">
        <f>865093655/1000</f>
        <v>865093.65500000003</v>
      </c>
      <c r="C31" s="16">
        <f>227.569902*10^6</f>
        <v>227569902</v>
      </c>
      <c r="D31" s="3" t="s">
        <v>50</v>
      </c>
      <c r="E31" s="15"/>
      <c r="F31" s="16"/>
      <c r="G31" s="3"/>
      <c r="H31" s="15">
        <v>2340672.3735000002</v>
      </c>
      <c r="I31" s="17">
        <f>615.732850171817*10^6</f>
        <v>615732850.17181695</v>
      </c>
      <c r="K31" s="181"/>
      <c r="L31" s="135"/>
      <c r="M31" s="135"/>
    </row>
    <row r="32" spans="1:13" ht="12.75">
      <c r="A32" s="8">
        <f t="shared" si="0"/>
        <v>29</v>
      </c>
      <c r="B32" s="134">
        <f>769722934/1000</f>
        <v>769722.93400000001</v>
      </c>
      <c r="C32" s="16">
        <f>202.48186*10^6</f>
        <v>202481860</v>
      </c>
      <c r="D32" s="3" t="s">
        <v>50</v>
      </c>
      <c r="E32" s="15"/>
      <c r="F32" s="16"/>
      <c r="G32" s="3"/>
      <c r="H32" s="15">
        <v>1562183.8707500002</v>
      </c>
      <c r="I32" s="17">
        <f>410.945136158048*10^6</f>
        <v>410945136.15804797</v>
      </c>
      <c r="K32" s="181"/>
      <c r="L32" s="135"/>
      <c r="M32" s="135"/>
    </row>
    <row r="33" spans="1:13" ht="12.75">
      <c r="A33" s="8">
        <f t="shared" si="0"/>
        <v>30</v>
      </c>
      <c r="B33" s="134">
        <v>864908.46699999995</v>
      </c>
      <c r="C33" s="16">
        <v>227521186</v>
      </c>
      <c r="D33" s="3" t="s">
        <v>50</v>
      </c>
      <c r="E33" s="15">
        <v>3507615.9070000001</v>
      </c>
      <c r="F33" s="16">
        <v>974337752</v>
      </c>
      <c r="G33" s="3" t="s">
        <v>50</v>
      </c>
      <c r="H33" s="15">
        <v>3063480.0916499998</v>
      </c>
      <c r="I33" s="17">
        <v>805873282.23800802</v>
      </c>
      <c r="K33" s="181"/>
      <c r="L33" s="135"/>
      <c r="M33" s="135"/>
    </row>
    <row r="34" spans="1:13" ht="12.75">
      <c r="A34" s="108"/>
      <c r="B34" s="25"/>
      <c r="C34" s="25"/>
      <c r="D34" s="26"/>
      <c r="E34" s="25"/>
      <c r="F34" s="25"/>
      <c r="G34" s="26"/>
      <c r="H34" s="25"/>
      <c r="I34" s="25"/>
      <c r="K34" s="181"/>
    </row>
    <row r="35" spans="1:13" ht="24.6" customHeight="1">
      <c r="A35" s="108"/>
      <c r="B35" s="163" t="s">
        <v>17</v>
      </c>
      <c r="C35" s="163"/>
      <c r="D35" s="163"/>
      <c r="E35" s="164"/>
      <c r="F35" s="164"/>
      <c r="G35" s="164"/>
      <c r="H35" s="164"/>
      <c r="I35" s="147"/>
      <c r="K35" s="181"/>
    </row>
    <row r="36" spans="1:13" ht="24.6" customHeight="1">
      <c r="A36" s="7" t="s">
        <v>5</v>
      </c>
      <c r="B36" s="165" t="s">
        <v>18</v>
      </c>
      <c r="C36" s="165"/>
      <c r="D36" s="165"/>
      <c r="E36" s="166"/>
      <c r="F36" s="166"/>
      <c r="G36" s="166"/>
      <c r="H36" s="166"/>
      <c r="I36" s="147"/>
      <c r="J36" s="138"/>
    </row>
    <row r="37" spans="1:13" ht="24.6" customHeight="1">
      <c r="A37" s="7" t="s">
        <v>6</v>
      </c>
      <c r="B37" s="165" t="s">
        <v>0</v>
      </c>
      <c r="C37" s="165"/>
      <c r="D37" s="165"/>
      <c r="E37" s="165"/>
      <c r="F37" s="165"/>
      <c r="G37" s="165"/>
      <c r="H37" s="165"/>
      <c r="I37" s="137"/>
      <c r="J37" s="138"/>
    </row>
    <row r="38" spans="1:13" ht="24.6" customHeight="1">
      <c r="A38" s="7" t="s">
        <v>7</v>
      </c>
      <c r="B38" s="165" t="s">
        <v>41</v>
      </c>
      <c r="C38" s="165"/>
      <c r="D38" s="165"/>
      <c r="E38" s="166"/>
      <c r="F38" s="166"/>
      <c r="G38" s="166"/>
      <c r="H38" s="166"/>
      <c r="I38" s="137"/>
      <c r="J38" s="138"/>
    </row>
    <row r="39" spans="1:13" ht="24.6" customHeight="1">
      <c r="A39" s="28" t="s">
        <v>19</v>
      </c>
      <c r="B39" s="149" t="s">
        <v>37</v>
      </c>
      <c r="C39" s="167"/>
      <c r="D39" s="167"/>
      <c r="E39" s="167"/>
      <c r="F39" s="167"/>
      <c r="G39" s="167"/>
      <c r="H39" s="167"/>
      <c r="I39" s="139"/>
      <c r="J39" s="137"/>
    </row>
  </sheetData>
  <mergeCells count="12">
    <mergeCell ref="A1:I1"/>
    <mergeCell ref="A2:A3"/>
    <mergeCell ref="B2:C2"/>
    <mergeCell ref="D2:D3"/>
    <mergeCell ref="E2:F2"/>
    <mergeCell ref="G2:G3"/>
    <mergeCell ref="H2:I2"/>
    <mergeCell ref="B35:H35"/>
    <mergeCell ref="B36:H36"/>
    <mergeCell ref="B37:H37"/>
    <mergeCell ref="B38:H38"/>
    <mergeCell ref="B39:H39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B9" sqref="B9"/>
    </sheetView>
  </sheetViews>
  <sheetFormatPr defaultRowHeight="15.95" customHeight="1"/>
  <cols>
    <col min="1" max="1" width="11.28515625" customWidth="1"/>
    <col min="2" max="2" width="17.28515625" customWidth="1"/>
    <col min="3" max="3" width="15.28515625" customWidth="1"/>
    <col min="4" max="4" width="19.5703125" customWidth="1"/>
    <col min="5" max="5" width="17" customWidth="1"/>
    <col min="6" max="6" width="14.7109375" customWidth="1"/>
    <col min="7" max="7" width="21.7109375" customWidth="1"/>
    <col min="8" max="8" width="17.140625" customWidth="1"/>
    <col min="9" max="9" width="16.140625" customWidth="1"/>
    <col min="11" max="11" width="17.7109375" bestFit="1" customWidth="1"/>
    <col min="12" max="12" width="13.42578125" bestFit="1" customWidth="1"/>
  </cols>
  <sheetData>
    <row r="1" spans="1:13" ht="58.9" customHeight="1" thickBot="1">
      <c r="A1" s="151" t="s">
        <v>57</v>
      </c>
      <c r="B1" s="151"/>
      <c r="C1" s="151"/>
      <c r="D1" s="151"/>
      <c r="E1" s="151"/>
      <c r="F1" s="151"/>
      <c r="G1" s="151"/>
      <c r="H1" s="151"/>
      <c r="I1" s="151"/>
    </row>
    <row r="2" spans="1:13" ht="12.75">
      <c r="A2" s="179" t="s">
        <v>11</v>
      </c>
      <c r="B2" s="169" t="s">
        <v>2</v>
      </c>
      <c r="C2" s="170"/>
      <c r="D2" s="171" t="s">
        <v>50</v>
      </c>
      <c r="E2" s="173" t="s">
        <v>8</v>
      </c>
      <c r="F2" s="174"/>
      <c r="G2" s="175" t="s">
        <v>9</v>
      </c>
      <c r="H2" s="177" t="s">
        <v>10</v>
      </c>
      <c r="I2" s="178"/>
    </row>
    <row r="3" spans="1:13" ht="12.75">
      <c r="A3" s="180"/>
      <c r="B3" s="5" t="s">
        <v>1</v>
      </c>
      <c r="C3" s="10" t="s">
        <v>29</v>
      </c>
      <c r="D3" s="172"/>
      <c r="E3" s="2" t="s">
        <v>1</v>
      </c>
      <c r="F3" s="11" t="s">
        <v>29</v>
      </c>
      <c r="G3" s="176"/>
      <c r="H3" s="12" t="s">
        <v>1</v>
      </c>
      <c r="I3" s="13" t="s">
        <v>29</v>
      </c>
    </row>
    <row r="4" spans="1:13" ht="12.75">
      <c r="A4" s="18">
        <v>1</v>
      </c>
      <c r="B4" s="134">
        <v>867563.17700000003</v>
      </c>
      <c r="C4" s="16">
        <v>228219529</v>
      </c>
      <c r="D4" s="3" t="s">
        <v>50</v>
      </c>
      <c r="E4" s="15"/>
      <c r="F4" s="16"/>
      <c r="G4" s="3"/>
      <c r="H4" s="15">
        <v>3341945.3371000006</v>
      </c>
      <c r="I4" s="17">
        <v>879125823.34368205</v>
      </c>
      <c r="K4" s="181"/>
      <c r="L4" s="135"/>
      <c r="M4" s="135"/>
    </row>
    <row r="5" spans="1:13" ht="12.75">
      <c r="A5" s="18">
        <f>A4+1</f>
        <v>2</v>
      </c>
      <c r="B5" s="134">
        <v>868220.19099999999</v>
      </c>
      <c r="C5" s="16">
        <v>228392362</v>
      </c>
      <c r="D5" s="3" t="s">
        <v>50</v>
      </c>
      <c r="E5" s="15">
        <v>3485162.1570000001</v>
      </c>
      <c r="F5" s="16">
        <v>968100599</v>
      </c>
      <c r="G5" s="3" t="s">
        <v>14</v>
      </c>
      <c r="H5" s="15">
        <v>4597093.2437000005</v>
      </c>
      <c r="I5" s="17">
        <v>1209302659.1399701</v>
      </c>
      <c r="K5" s="181"/>
      <c r="L5" s="135"/>
      <c r="M5" s="135"/>
    </row>
    <row r="6" spans="1:13" ht="12.75">
      <c r="A6" s="8">
        <f>A5+1</f>
        <v>3</v>
      </c>
      <c r="B6" s="134">
        <v>867116.31799999997</v>
      </c>
      <c r="C6" s="16">
        <v>228101980</v>
      </c>
      <c r="D6" s="3" t="s">
        <v>50</v>
      </c>
      <c r="E6" s="15"/>
      <c r="F6" s="16"/>
      <c r="G6" s="3"/>
      <c r="H6" s="15">
        <v>5101960.9745500004</v>
      </c>
      <c r="I6" s="17">
        <v>1342112210.1029699</v>
      </c>
      <c r="K6" s="181"/>
      <c r="L6" s="135"/>
      <c r="M6" s="135"/>
    </row>
    <row r="7" spans="1:13" ht="12.75">
      <c r="A7" s="8">
        <f t="shared" ref="A7:A34" si="0">A6+1</f>
        <v>4</v>
      </c>
      <c r="B7" s="134">
        <v>866481.64300000004</v>
      </c>
      <c r="C7" s="16">
        <v>227935023</v>
      </c>
      <c r="D7" s="3" t="s">
        <v>50</v>
      </c>
      <c r="E7" s="15"/>
      <c r="F7" s="16"/>
      <c r="G7" s="3"/>
      <c r="H7" s="15">
        <v>4218120.5027000001</v>
      </c>
      <c r="I7" s="17">
        <v>1109610806</v>
      </c>
      <c r="K7" s="181"/>
      <c r="L7" s="135"/>
      <c r="M7" s="135"/>
    </row>
    <row r="8" spans="1:13" ht="12.75">
      <c r="A8" s="8">
        <f t="shared" si="0"/>
        <v>5</v>
      </c>
      <c r="B8" s="134">
        <v>867826.41</v>
      </c>
      <c r="C8" s="16">
        <v>228288775</v>
      </c>
      <c r="D8" s="3" t="s">
        <v>50</v>
      </c>
      <c r="E8" s="15"/>
      <c r="F8" s="16"/>
      <c r="G8" s="3"/>
      <c r="H8" s="15">
        <v>3340841.5330000003</v>
      </c>
      <c r="I8" s="17">
        <v>878835458.72357595</v>
      </c>
      <c r="K8" s="181"/>
      <c r="L8" s="135"/>
      <c r="M8" s="135"/>
    </row>
    <row r="9" spans="1:13" ht="12.75">
      <c r="A9" s="8">
        <f t="shared" si="0"/>
        <v>6</v>
      </c>
      <c r="B9" s="134"/>
      <c r="C9" s="16"/>
      <c r="D9" s="3"/>
      <c r="E9" s="15"/>
      <c r="F9" s="16"/>
      <c r="G9" s="3"/>
      <c r="H9" s="15"/>
      <c r="I9" s="17"/>
      <c r="L9" s="144"/>
      <c r="M9" s="135"/>
    </row>
    <row r="10" spans="1:13" ht="12.75">
      <c r="A10" s="8">
        <f t="shared" si="0"/>
        <v>7</v>
      </c>
      <c r="B10" s="134"/>
      <c r="C10" s="16"/>
      <c r="D10" s="3"/>
      <c r="E10" s="15"/>
      <c r="F10" s="16"/>
      <c r="G10" s="3"/>
      <c r="H10" s="15"/>
      <c r="I10" s="17"/>
      <c r="L10" s="144"/>
      <c r="M10" s="135"/>
    </row>
    <row r="11" spans="1:13" ht="12.75">
      <c r="A11" s="18">
        <f t="shared" si="0"/>
        <v>8</v>
      </c>
      <c r="B11" s="134"/>
      <c r="C11" s="16"/>
      <c r="D11" s="3"/>
      <c r="E11" s="15"/>
      <c r="F11" s="16"/>
      <c r="G11" s="3"/>
      <c r="H11" s="15"/>
      <c r="I11" s="17"/>
      <c r="L11" s="144"/>
      <c r="M11" s="135"/>
    </row>
    <row r="12" spans="1:13" ht="12.75">
      <c r="A12" s="18">
        <f t="shared" si="0"/>
        <v>9</v>
      </c>
      <c r="B12" s="134"/>
      <c r="C12" s="16"/>
      <c r="D12" s="3"/>
      <c r="H12" s="15"/>
      <c r="I12" s="17"/>
      <c r="L12" s="144"/>
      <c r="M12" s="135"/>
    </row>
    <row r="13" spans="1:13" ht="12.75">
      <c r="A13" s="8">
        <f t="shared" si="0"/>
        <v>10</v>
      </c>
      <c r="B13" s="134"/>
      <c r="C13" s="16"/>
      <c r="D13" s="3"/>
      <c r="E13" s="15"/>
      <c r="F13" s="16"/>
      <c r="G13" s="3"/>
      <c r="H13" s="15"/>
      <c r="I13" s="17"/>
      <c r="L13" s="135"/>
      <c r="M13" s="135"/>
    </row>
    <row r="14" spans="1:13" ht="12.75">
      <c r="A14" s="8">
        <f t="shared" si="0"/>
        <v>11</v>
      </c>
      <c r="B14" s="134"/>
      <c r="C14" s="16"/>
      <c r="D14" s="3"/>
      <c r="E14" s="15"/>
      <c r="F14" s="16"/>
      <c r="G14" s="3"/>
      <c r="H14" s="15"/>
      <c r="I14" s="17"/>
      <c r="K14" s="136"/>
      <c r="L14" s="135"/>
      <c r="M14" s="135"/>
    </row>
    <row r="15" spans="1:13" ht="12.75">
      <c r="A15" s="8">
        <f t="shared" si="0"/>
        <v>12</v>
      </c>
      <c r="B15" s="134"/>
      <c r="C15" s="16"/>
      <c r="D15" s="3"/>
      <c r="E15" s="15"/>
      <c r="F15" s="16"/>
      <c r="G15" s="3"/>
      <c r="H15" s="15"/>
      <c r="I15" s="17"/>
      <c r="L15" s="135"/>
      <c r="M15" s="135"/>
    </row>
    <row r="16" spans="1:13" ht="12.75">
      <c r="A16" s="8">
        <f t="shared" si="0"/>
        <v>13</v>
      </c>
      <c r="B16" s="134"/>
      <c r="C16" s="16"/>
      <c r="D16" s="3"/>
      <c r="E16" s="15"/>
      <c r="F16" s="16"/>
      <c r="G16" s="3"/>
      <c r="H16" s="15"/>
      <c r="I16" s="17"/>
      <c r="L16" s="135"/>
      <c r="M16" s="135"/>
    </row>
    <row r="17" spans="1:13" ht="12.75">
      <c r="A17" s="8">
        <f t="shared" si="0"/>
        <v>14</v>
      </c>
      <c r="B17" s="134"/>
      <c r="C17" s="16"/>
      <c r="D17" s="3"/>
      <c r="E17" s="15"/>
      <c r="F17" s="16"/>
      <c r="G17" s="3"/>
      <c r="H17" s="15"/>
      <c r="I17" s="17"/>
      <c r="L17" s="135"/>
      <c r="M17" s="135"/>
    </row>
    <row r="18" spans="1:13" ht="12.75">
      <c r="A18" s="18">
        <f t="shared" si="0"/>
        <v>15</v>
      </c>
      <c r="B18" s="134"/>
      <c r="C18" s="16"/>
      <c r="D18" s="3"/>
      <c r="E18" s="15"/>
      <c r="F18" s="16"/>
      <c r="G18" s="3"/>
      <c r="H18" s="15"/>
      <c r="I18" s="17"/>
      <c r="L18" s="135"/>
      <c r="M18" s="135"/>
    </row>
    <row r="19" spans="1:13" ht="12.75">
      <c r="A19" s="18">
        <f t="shared" si="0"/>
        <v>16</v>
      </c>
      <c r="B19" s="134"/>
      <c r="C19" s="16"/>
      <c r="D19" s="3"/>
      <c r="E19" s="15"/>
      <c r="F19" s="16"/>
      <c r="G19" s="3"/>
      <c r="H19" s="15"/>
      <c r="I19" s="17"/>
      <c r="L19" s="135"/>
      <c r="M19" s="135"/>
    </row>
    <row r="20" spans="1:13" ht="12.75">
      <c r="A20" s="8">
        <f t="shared" si="0"/>
        <v>17</v>
      </c>
      <c r="B20" s="134"/>
      <c r="C20" s="16"/>
      <c r="D20" s="3"/>
      <c r="E20" s="15"/>
      <c r="F20" s="16"/>
      <c r="G20" s="3"/>
      <c r="H20" s="15"/>
      <c r="I20" s="17"/>
      <c r="L20" s="135"/>
      <c r="M20" s="135"/>
    </row>
    <row r="21" spans="1:13" ht="12.75">
      <c r="A21" s="8">
        <f t="shared" si="0"/>
        <v>18</v>
      </c>
      <c r="B21" s="134"/>
      <c r="C21" s="16"/>
      <c r="D21" s="3"/>
      <c r="E21" s="15"/>
      <c r="F21" s="16"/>
      <c r="G21" s="3"/>
      <c r="H21" s="15"/>
      <c r="I21" s="17"/>
      <c r="L21" s="135"/>
      <c r="M21" s="135"/>
    </row>
    <row r="22" spans="1:13" ht="12.75">
      <c r="A22" s="8">
        <f t="shared" si="0"/>
        <v>19</v>
      </c>
      <c r="B22" s="134"/>
      <c r="C22" s="16"/>
      <c r="D22" s="3"/>
      <c r="E22" s="15"/>
      <c r="F22" s="16"/>
      <c r="G22" s="3"/>
      <c r="H22" s="15"/>
      <c r="I22" s="17"/>
      <c r="L22" s="135"/>
      <c r="M22" s="135"/>
    </row>
    <row r="23" spans="1:13" ht="12.75">
      <c r="A23" s="8">
        <f t="shared" si="0"/>
        <v>20</v>
      </c>
      <c r="B23" s="134"/>
      <c r="C23" s="16"/>
      <c r="D23" s="3"/>
      <c r="E23" s="15"/>
      <c r="F23" s="16"/>
      <c r="G23" s="3"/>
      <c r="H23" s="15"/>
      <c r="I23" s="17"/>
      <c r="L23" s="135"/>
      <c r="M23" s="135"/>
    </row>
    <row r="24" spans="1:13" ht="12.75">
      <c r="A24" s="8">
        <f t="shared" si="0"/>
        <v>21</v>
      </c>
      <c r="B24" s="134"/>
      <c r="C24" s="16"/>
      <c r="D24" s="3"/>
      <c r="E24" s="15"/>
      <c r="F24" s="16"/>
      <c r="G24" s="3"/>
      <c r="H24" s="15"/>
      <c r="I24" s="17"/>
      <c r="L24" s="135"/>
      <c r="M24" s="135"/>
    </row>
    <row r="25" spans="1:13" ht="12.75">
      <c r="A25" s="18">
        <f t="shared" si="0"/>
        <v>22</v>
      </c>
      <c r="B25" s="134"/>
      <c r="C25" s="16"/>
      <c r="D25" s="3"/>
      <c r="E25" s="15"/>
      <c r="F25" s="16"/>
      <c r="G25" s="3"/>
      <c r="H25" s="15"/>
      <c r="I25" s="17"/>
      <c r="L25" s="135"/>
      <c r="M25" s="135"/>
    </row>
    <row r="26" spans="1:13" ht="12.75">
      <c r="A26" s="18">
        <f t="shared" si="0"/>
        <v>23</v>
      </c>
      <c r="B26" s="134"/>
      <c r="C26" s="16"/>
      <c r="D26" s="3"/>
      <c r="E26" s="15"/>
      <c r="F26" s="16"/>
      <c r="G26" s="3"/>
      <c r="H26" s="15"/>
      <c r="I26" s="17"/>
      <c r="L26" s="135"/>
      <c r="M26" s="135"/>
    </row>
    <row r="27" spans="1:13" ht="12.75">
      <c r="A27" s="8">
        <f t="shared" si="0"/>
        <v>24</v>
      </c>
      <c r="B27" s="134"/>
      <c r="C27" s="16"/>
      <c r="D27" s="3"/>
      <c r="E27" s="15"/>
      <c r="F27" s="16"/>
      <c r="G27" s="3"/>
      <c r="H27" s="15"/>
      <c r="I27" s="17"/>
      <c r="L27" s="135"/>
      <c r="M27" s="135"/>
    </row>
    <row r="28" spans="1:13" ht="12.75">
      <c r="A28" s="8">
        <f t="shared" si="0"/>
        <v>25</v>
      </c>
      <c r="B28" s="134"/>
      <c r="C28" s="16"/>
      <c r="D28" s="3"/>
      <c r="E28" s="15"/>
      <c r="F28" s="16"/>
      <c r="G28" s="3"/>
      <c r="H28" s="15"/>
      <c r="I28" s="17"/>
      <c r="L28" s="135"/>
      <c r="M28" s="135"/>
    </row>
    <row r="29" spans="1:13" ht="12.75">
      <c r="A29" s="8">
        <f t="shared" si="0"/>
        <v>26</v>
      </c>
      <c r="B29" s="134"/>
      <c r="C29" s="16"/>
      <c r="D29" s="3"/>
      <c r="E29" s="15"/>
      <c r="F29" s="16"/>
      <c r="G29" s="3"/>
      <c r="H29" s="15"/>
      <c r="I29" s="17"/>
      <c r="L29" s="135"/>
      <c r="M29" s="135"/>
    </row>
    <row r="30" spans="1:13" ht="12.75">
      <c r="A30" s="8">
        <f t="shared" si="0"/>
        <v>27</v>
      </c>
      <c r="B30" s="134"/>
      <c r="C30" s="16"/>
      <c r="D30" s="3"/>
      <c r="E30" s="15"/>
      <c r="F30" s="16"/>
      <c r="G30" s="3"/>
      <c r="H30" s="15"/>
      <c r="I30" s="17"/>
      <c r="L30" s="135"/>
      <c r="M30" s="135"/>
    </row>
    <row r="31" spans="1:13" ht="12.75">
      <c r="A31" s="8">
        <f t="shared" si="0"/>
        <v>28</v>
      </c>
      <c r="B31" s="134"/>
      <c r="C31" s="16"/>
      <c r="D31" s="3"/>
      <c r="E31" s="15"/>
      <c r="F31" s="16"/>
      <c r="G31" s="3"/>
      <c r="H31" s="15"/>
      <c r="I31" s="17"/>
      <c r="L31" s="135"/>
      <c r="M31" s="135"/>
    </row>
    <row r="32" spans="1:13" ht="12.75">
      <c r="A32" s="18">
        <f t="shared" si="0"/>
        <v>29</v>
      </c>
      <c r="B32" s="134"/>
      <c r="C32" s="16"/>
      <c r="D32" s="3"/>
      <c r="E32" s="15"/>
      <c r="F32" s="16"/>
      <c r="G32" s="3"/>
      <c r="H32" s="15"/>
      <c r="I32" s="17"/>
      <c r="L32" s="135"/>
      <c r="M32" s="135"/>
    </row>
    <row r="33" spans="1:13" ht="12.75">
      <c r="A33" s="18">
        <f t="shared" si="0"/>
        <v>30</v>
      </c>
      <c r="B33" s="134"/>
      <c r="C33" s="16"/>
      <c r="D33" s="3"/>
      <c r="E33" s="15"/>
      <c r="F33" s="16"/>
      <c r="G33" s="3"/>
      <c r="H33" s="15"/>
      <c r="I33" s="17"/>
      <c r="L33" s="135"/>
      <c r="M33" s="135"/>
    </row>
    <row r="34" spans="1:13" ht="12.75">
      <c r="A34" s="8">
        <f t="shared" si="0"/>
        <v>31</v>
      </c>
      <c r="B34" s="134"/>
      <c r="C34" s="16"/>
      <c r="D34" s="3"/>
      <c r="E34" s="15"/>
      <c r="F34" s="16"/>
      <c r="G34" s="3"/>
      <c r="H34" s="15"/>
      <c r="I34" s="17"/>
      <c r="L34" s="135"/>
      <c r="M34" s="135"/>
    </row>
    <row r="35" spans="1:13" ht="12.75">
      <c r="A35" s="108"/>
      <c r="B35" s="25"/>
      <c r="C35" s="25"/>
      <c r="D35" s="26"/>
      <c r="E35" s="25"/>
      <c r="F35" s="25"/>
      <c r="G35" s="26"/>
      <c r="H35" s="25"/>
      <c r="I35" s="25"/>
    </row>
    <row r="36" spans="1:13" ht="24.6" customHeight="1">
      <c r="A36" s="108"/>
      <c r="B36" s="163" t="s">
        <v>17</v>
      </c>
      <c r="C36" s="163"/>
      <c r="D36" s="163"/>
      <c r="E36" s="164"/>
      <c r="F36" s="164"/>
      <c r="G36" s="164"/>
      <c r="H36" s="164"/>
      <c r="I36" s="148"/>
    </row>
    <row r="37" spans="1:13" ht="24.6" customHeight="1">
      <c r="A37" s="7" t="s">
        <v>5</v>
      </c>
      <c r="B37" s="165" t="s">
        <v>18</v>
      </c>
      <c r="C37" s="165"/>
      <c r="D37" s="165"/>
      <c r="E37" s="166"/>
      <c r="F37" s="166"/>
      <c r="G37" s="166"/>
      <c r="H37" s="166"/>
      <c r="I37" s="148"/>
      <c r="J37" s="138"/>
    </row>
    <row r="38" spans="1:13" ht="24.6" customHeight="1">
      <c r="A38" s="7" t="s">
        <v>6</v>
      </c>
      <c r="B38" s="165" t="s">
        <v>0</v>
      </c>
      <c r="C38" s="165"/>
      <c r="D38" s="165"/>
      <c r="E38" s="165"/>
      <c r="F38" s="165"/>
      <c r="G38" s="165"/>
      <c r="H38" s="165"/>
      <c r="I38" s="137"/>
      <c r="J38" s="138"/>
    </row>
    <row r="39" spans="1:13" ht="24.6" customHeight="1">
      <c r="A39" s="7" t="s">
        <v>7</v>
      </c>
      <c r="B39" s="165" t="s">
        <v>41</v>
      </c>
      <c r="C39" s="165"/>
      <c r="D39" s="165"/>
      <c r="E39" s="166"/>
      <c r="F39" s="166"/>
      <c r="G39" s="166"/>
      <c r="H39" s="166"/>
      <c r="I39" s="137"/>
      <c r="J39" s="138"/>
    </row>
    <row r="40" spans="1:13" ht="24.6" customHeight="1">
      <c r="A40" s="28" t="s">
        <v>19</v>
      </c>
      <c r="B40" s="149" t="s">
        <v>37</v>
      </c>
      <c r="C40" s="167"/>
      <c r="D40" s="167"/>
      <c r="E40" s="167"/>
      <c r="F40" s="167"/>
      <c r="G40" s="167"/>
      <c r="H40" s="167"/>
      <c r="I40" s="139"/>
      <c r="J40" s="137"/>
    </row>
  </sheetData>
  <mergeCells count="12">
    <mergeCell ref="B36:H36"/>
    <mergeCell ref="B37:H37"/>
    <mergeCell ref="B38:H38"/>
    <mergeCell ref="B39:H39"/>
    <mergeCell ref="B40:H40"/>
    <mergeCell ref="A1:I1"/>
    <mergeCell ref="A2:A3"/>
    <mergeCell ref="B2:C2"/>
    <mergeCell ref="D2:D3"/>
    <mergeCell ref="E2:F2"/>
    <mergeCell ref="G2:G3"/>
    <mergeCell ref="H2:I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F32" sqref="F32"/>
    </sheetView>
  </sheetViews>
  <sheetFormatPr defaultRowHeight="12.75"/>
  <cols>
    <col min="1" max="1" width="10.140625" customWidth="1"/>
    <col min="2" max="2" width="16.85546875" customWidth="1"/>
    <col min="3" max="3" width="16.5703125" customWidth="1"/>
    <col min="4" max="4" width="19.85546875" customWidth="1"/>
    <col min="5" max="6" width="17.140625" customWidth="1"/>
    <col min="7" max="7" width="19.85546875" customWidth="1"/>
    <col min="8" max="8" width="16.85546875" customWidth="1"/>
    <col min="9" max="9" width="17.140625" customWidth="1"/>
  </cols>
  <sheetData>
    <row r="1" spans="1:9" ht="63.6" customHeight="1" thickBot="1">
      <c r="A1" s="151" t="s">
        <v>24</v>
      </c>
      <c r="B1" s="151"/>
      <c r="C1" s="151"/>
      <c r="D1" s="151"/>
      <c r="E1" s="151"/>
      <c r="F1" s="151"/>
      <c r="G1" s="151"/>
      <c r="H1" s="151"/>
      <c r="I1" s="151"/>
    </row>
    <row r="2" spans="1:9">
      <c r="A2" s="152" t="s">
        <v>11</v>
      </c>
      <c r="B2" s="153" t="s">
        <v>2</v>
      </c>
      <c r="C2" s="154"/>
      <c r="D2" s="155" t="s">
        <v>12</v>
      </c>
      <c r="E2" s="157" t="s">
        <v>8</v>
      </c>
      <c r="F2" s="158"/>
      <c r="G2" s="159" t="s">
        <v>9</v>
      </c>
      <c r="H2" s="161" t="s">
        <v>10</v>
      </c>
      <c r="I2" s="162"/>
    </row>
    <row r="3" spans="1:9">
      <c r="A3" s="152"/>
      <c r="B3" s="5" t="s">
        <v>1</v>
      </c>
      <c r="C3" s="10" t="s">
        <v>15</v>
      </c>
      <c r="D3" s="156"/>
      <c r="E3" s="2" t="s">
        <v>1</v>
      </c>
      <c r="F3" s="11" t="s">
        <v>15</v>
      </c>
      <c r="G3" s="160"/>
      <c r="H3" s="12" t="s">
        <v>1</v>
      </c>
      <c r="I3" s="13" t="s">
        <v>15</v>
      </c>
    </row>
    <row r="4" spans="1:9">
      <c r="A4" s="29">
        <v>1</v>
      </c>
      <c r="B4" s="15">
        <f>792011754/1000</f>
        <v>792011.75399999996</v>
      </c>
      <c r="C4" s="16">
        <f>(B4/3.6)*1000</f>
        <v>220003264.99999997</v>
      </c>
      <c r="D4" s="3" t="s">
        <v>14</v>
      </c>
      <c r="E4" s="15">
        <v>3465972.037</v>
      </c>
      <c r="F4" s="16">
        <f>(E4/3.6)*1000</f>
        <v>962770010.27777779</v>
      </c>
      <c r="G4" s="3" t="s">
        <v>14</v>
      </c>
      <c r="H4" s="15">
        <v>2962323.8000000003</v>
      </c>
      <c r="I4" s="17">
        <f>(H4/3.6)*1000</f>
        <v>822867722.22222221</v>
      </c>
    </row>
    <row r="5" spans="1:9">
      <c r="A5" s="29">
        <f>A4+1</f>
        <v>2</v>
      </c>
      <c r="B5" s="15">
        <v>792387.19700000004</v>
      </c>
      <c r="C5" s="16">
        <f t="shared" ref="C5:C10" si="0">(B5/3.6)*1000</f>
        <v>220107554.72222224</v>
      </c>
      <c r="D5" s="3" t="s">
        <v>14</v>
      </c>
      <c r="E5" s="15"/>
      <c r="F5" s="16"/>
      <c r="G5" s="3"/>
      <c r="H5" s="15">
        <v>4035121.0006039063</v>
      </c>
      <c r="I5" s="17">
        <f>(H5/3.6)*1000</f>
        <v>1120866944.6121962</v>
      </c>
    </row>
    <row r="6" spans="1:9">
      <c r="A6" s="29">
        <f t="shared" ref="A6:A33" si="1">A5+1</f>
        <v>3</v>
      </c>
      <c r="B6" s="15">
        <f>732688672/1000</f>
        <v>732688.67200000002</v>
      </c>
      <c r="C6" s="16">
        <f t="shared" si="0"/>
        <v>203524631.1111111</v>
      </c>
      <c r="D6" s="3" t="s">
        <v>14</v>
      </c>
      <c r="E6" s="27"/>
      <c r="F6" s="16"/>
      <c r="G6" s="3"/>
      <c r="H6" s="15">
        <v>4842461.2</v>
      </c>
      <c r="I6" s="17">
        <f t="shared" ref="I6:I33" si="2">(H6/3.6)*1000</f>
        <v>1345128111.1111112</v>
      </c>
    </row>
    <row r="7" spans="1:9">
      <c r="A7" s="32">
        <f t="shared" si="1"/>
        <v>4</v>
      </c>
      <c r="B7" s="15">
        <f>514716202/1000</f>
        <v>514716.20199999999</v>
      </c>
      <c r="C7" s="16">
        <f t="shared" si="0"/>
        <v>142976722.77777776</v>
      </c>
      <c r="D7" s="3" t="s">
        <v>14</v>
      </c>
      <c r="E7" s="27"/>
      <c r="F7" s="21"/>
      <c r="G7" s="20"/>
      <c r="H7" s="15">
        <v>4104519.2</v>
      </c>
      <c r="I7" s="17">
        <f t="shared" si="2"/>
        <v>1140144222.2222223</v>
      </c>
    </row>
    <row r="8" spans="1:9">
      <c r="A8" s="32">
        <f t="shared" si="1"/>
        <v>5</v>
      </c>
      <c r="B8" s="15">
        <f>475000343/1000</f>
        <v>475000.34299999999</v>
      </c>
      <c r="C8" s="16">
        <f t="shared" si="0"/>
        <v>131944539.72222222</v>
      </c>
      <c r="D8" s="3" t="s">
        <v>14</v>
      </c>
      <c r="E8" s="33"/>
      <c r="F8" s="21"/>
      <c r="G8" s="3"/>
      <c r="H8" s="15">
        <v>3584923.2</v>
      </c>
      <c r="I8" s="17">
        <f t="shared" si="2"/>
        <v>995812000</v>
      </c>
    </row>
    <row r="9" spans="1:9">
      <c r="A9" s="8">
        <f t="shared" si="1"/>
        <v>6</v>
      </c>
      <c r="B9" s="15">
        <f>495019436/1000</f>
        <v>495019.43599999999</v>
      </c>
      <c r="C9" s="16">
        <f t="shared" si="0"/>
        <v>137505398.8888889</v>
      </c>
      <c r="D9" s="3" t="s">
        <v>14</v>
      </c>
      <c r="E9" s="33"/>
      <c r="F9" s="21"/>
      <c r="G9" s="3"/>
      <c r="H9" s="15">
        <v>3102296.6</v>
      </c>
      <c r="I9" s="17">
        <f t="shared" si="2"/>
        <v>861749055.55555546</v>
      </c>
    </row>
    <row r="10" spans="1:9">
      <c r="A10" s="29">
        <f t="shared" si="1"/>
        <v>7</v>
      </c>
      <c r="B10" s="15">
        <f>515414758/1000</f>
        <v>515414.75799999997</v>
      </c>
      <c r="C10" s="16">
        <f t="shared" si="0"/>
        <v>143170766.1111111</v>
      </c>
      <c r="D10" s="3" t="s">
        <v>14</v>
      </c>
      <c r="E10" s="22"/>
      <c r="F10" s="21"/>
      <c r="G10" s="16"/>
      <c r="H10" s="15">
        <v>2599522.4000000004</v>
      </c>
      <c r="I10" s="17">
        <f t="shared" si="2"/>
        <v>722089555.55555558</v>
      </c>
    </row>
    <row r="11" spans="1:9">
      <c r="A11" s="29">
        <f t="shared" si="1"/>
        <v>8</v>
      </c>
      <c r="B11" s="15">
        <f>733367662/1000</f>
        <v>733367.66200000001</v>
      </c>
      <c r="C11" s="16">
        <f>(B11/3.6)*1000</f>
        <v>203713239.44444445</v>
      </c>
      <c r="D11" s="3" t="s">
        <v>14</v>
      </c>
      <c r="E11" s="24"/>
      <c r="F11" s="21"/>
      <c r="G11" s="3"/>
      <c r="H11" s="15">
        <v>2069973.1</v>
      </c>
      <c r="I11" s="17">
        <f t="shared" si="2"/>
        <v>574992527.77777779</v>
      </c>
    </row>
    <row r="12" spans="1:9">
      <c r="A12" s="29">
        <f t="shared" si="1"/>
        <v>9</v>
      </c>
      <c r="B12" s="15">
        <f>733700731/1000</f>
        <v>733700.73100000003</v>
      </c>
      <c r="C12" s="16">
        <f>(B12/3.6)*1000</f>
        <v>203805758.6111111</v>
      </c>
      <c r="D12" s="3" t="s">
        <v>14</v>
      </c>
      <c r="E12" s="27"/>
      <c r="F12" s="21"/>
      <c r="G12" s="3"/>
      <c r="H12" s="15">
        <v>1326488.1000000001</v>
      </c>
      <c r="I12" s="17">
        <f t="shared" si="2"/>
        <v>368468916.66666669</v>
      </c>
    </row>
    <row r="13" spans="1:9">
      <c r="A13" s="29">
        <f t="shared" si="1"/>
        <v>10</v>
      </c>
      <c r="B13" s="15">
        <f>733479794/1000</f>
        <v>733479.79399999999</v>
      </c>
      <c r="C13" s="16">
        <f t="shared" ref="C13:C33" si="3">(B13/3.6)*1000</f>
        <v>203744387.22222224</v>
      </c>
      <c r="D13" s="3" t="s">
        <v>14</v>
      </c>
      <c r="E13" s="15">
        <v>3467695.173</v>
      </c>
      <c r="F13" s="16">
        <f>(E13/3.6)*1000</f>
        <v>963248659.16666663</v>
      </c>
      <c r="G13" s="3" t="s">
        <v>14</v>
      </c>
      <c r="H13" s="15">
        <v>585051.6</v>
      </c>
      <c r="I13" s="17">
        <f t="shared" si="2"/>
        <v>162514333.33333331</v>
      </c>
    </row>
    <row r="14" spans="1:9">
      <c r="A14" s="32">
        <f t="shared" si="1"/>
        <v>11</v>
      </c>
      <c r="B14" s="15">
        <f>633815391/1000</f>
        <v>633815.39099999995</v>
      </c>
      <c r="C14" s="16">
        <f t="shared" si="3"/>
        <v>176059830.83333331</v>
      </c>
      <c r="D14" s="3" t="s">
        <v>14</v>
      </c>
      <c r="E14" s="15"/>
      <c r="F14" s="21"/>
      <c r="G14" s="3"/>
      <c r="H14" s="15">
        <v>234541.2</v>
      </c>
      <c r="I14" s="17">
        <f t="shared" si="2"/>
        <v>65150333.333333336</v>
      </c>
    </row>
    <row r="15" spans="1:9">
      <c r="A15" s="32">
        <f t="shared" si="1"/>
        <v>12</v>
      </c>
      <c r="B15" s="15">
        <f>633465714/1000</f>
        <v>633465.71400000004</v>
      </c>
      <c r="C15" s="16">
        <f t="shared" si="3"/>
        <v>175962698.33333334</v>
      </c>
      <c r="D15" s="3" t="s">
        <v>14</v>
      </c>
      <c r="E15" s="24"/>
      <c r="F15" s="21"/>
      <c r="G15" s="9"/>
      <c r="H15" s="15">
        <v>2693608.8000000003</v>
      </c>
      <c r="I15" s="17">
        <f t="shared" si="2"/>
        <v>748224666.66666675</v>
      </c>
    </row>
    <row r="16" spans="1:9">
      <c r="A16" s="29">
        <f t="shared" si="1"/>
        <v>13</v>
      </c>
      <c r="B16" s="15">
        <f>732137829/1000</f>
        <v>732137.82900000003</v>
      </c>
      <c r="C16" s="16">
        <f t="shared" si="3"/>
        <v>203371619.16666666</v>
      </c>
      <c r="D16" s="3" t="s">
        <v>14</v>
      </c>
      <c r="E16" s="23">
        <v>3322807.3139999998</v>
      </c>
      <c r="F16" s="16">
        <f>(E16/3.6)*1000</f>
        <v>923002031.66666663</v>
      </c>
      <c r="G16" s="3" t="s">
        <v>14</v>
      </c>
      <c r="H16" s="15">
        <v>2047608.3</v>
      </c>
      <c r="I16" s="17">
        <f t="shared" si="2"/>
        <v>568780083.33333337</v>
      </c>
    </row>
    <row r="17" spans="1:9">
      <c r="A17" s="29">
        <f t="shared" si="1"/>
        <v>14</v>
      </c>
      <c r="B17" s="15">
        <f>732182144/1000</f>
        <v>732182.14399999997</v>
      </c>
      <c r="C17" s="16">
        <f t="shared" si="3"/>
        <v>203383928.8888889</v>
      </c>
      <c r="D17" s="3" t="s">
        <v>14</v>
      </c>
      <c r="E17" s="24"/>
      <c r="F17" s="21"/>
      <c r="G17" s="3"/>
      <c r="H17" s="15">
        <v>3257621.1</v>
      </c>
      <c r="I17" s="17">
        <f t="shared" si="2"/>
        <v>904894750</v>
      </c>
    </row>
    <row r="18" spans="1:9">
      <c r="A18" s="29">
        <f t="shared" si="1"/>
        <v>15</v>
      </c>
      <c r="B18" s="15">
        <f>732632504/1000</f>
        <v>732632.50399999996</v>
      </c>
      <c r="C18" s="16">
        <f>(B18/3.6)*1000</f>
        <v>203509028.88888887</v>
      </c>
      <c r="D18" s="3" t="s">
        <v>14</v>
      </c>
      <c r="E18" s="24"/>
      <c r="F18" s="21"/>
      <c r="G18" s="9"/>
      <c r="H18" s="15">
        <v>3905380.9000000004</v>
      </c>
      <c r="I18" s="17">
        <f t="shared" si="2"/>
        <v>1084828027.7777777</v>
      </c>
    </row>
    <row r="19" spans="1:9">
      <c r="A19" s="29">
        <f t="shared" si="1"/>
        <v>16</v>
      </c>
      <c r="B19" s="15">
        <f>732599082/1000</f>
        <v>732599.08200000005</v>
      </c>
      <c r="C19" s="16">
        <f t="shared" si="3"/>
        <v>203499745</v>
      </c>
      <c r="D19" s="3" t="s">
        <v>14</v>
      </c>
      <c r="E19" s="24"/>
      <c r="F19" s="21"/>
      <c r="G19" s="9"/>
      <c r="H19" s="15">
        <v>3161751.3000000003</v>
      </c>
      <c r="I19" s="17">
        <f t="shared" si="2"/>
        <v>878264250</v>
      </c>
    </row>
    <row r="20" spans="1:9">
      <c r="A20" s="29">
        <f t="shared" si="1"/>
        <v>17</v>
      </c>
      <c r="B20" s="15">
        <f>732210153/1000</f>
        <v>732210.15300000005</v>
      </c>
      <c r="C20" s="16">
        <f t="shared" si="3"/>
        <v>203391709.16666666</v>
      </c>
      <c r="D20" s="3" t="s">
        <v>14</v>
      </c>
      <c r="E20" s="24"/>
      <c r="F20" s="21"/>
      <c r="G20" s="9"/>
      <c r="H20" s="15">
        <v>2420941.4000000004</v>
      </c>
      <c r="I20" s="17">
        <f t="shared" si="2"/>
        <v>672483722.22222233</v>
      </c>
    </row>
    <row r="21" spans="1:9">
      <c r="A21" s="32">
        <f t="shared" si="1"/>
        <v>18</v>
      </c>
      <c r="B21" s="15">
        <f>673005026/1000</f>
        <v>673005.02599999995</v>
      </c>
      <c r="C21" s="16">
        <f t="shared" si="3"/>
        <v>186945840.55555552</v>
      </c>
      <c r="D21" s="3" t="s">
        <v>14</v>
      </c>
      <c r="E21" s="24"/>
      <c r="F21" s="21"/>
      <c r="G21" s="9"/>
      <c r="H21" s="15">
        <v>1677914.3</v>
      </c>
      <c r="I21" s="17">
        <f t="shared" si="2"/>
        <v>466087305.55555558</v>
      </c>
    </row>
    <row r="22" spans="1:9">
      <c r="A22" s="32">
        <f t="shared" si="1"/>
        <v>19</v>
      </c>
      <c r="B22" s="15">
        <f>653372515/1000</f>
        <v>653372.51500000001</v>
      </c>
      <c r="C22" s="16">
        <f t="shared" si="3"/>
        <v>181492365.27777776</v>
      </c>
      <c r="D22" s="3" t="s">
        <v>14</v>
      </c>
      <c r="E22" s="15">
        <v>3343700.537</v>
      </c>
      <c r="F22" s="16">
        <f>(E22/3.6)*1000</f>
        <v>928805704.72222221</v>
      </c>
      <c r="G22" s="3" t="s">
        <v>14</v>
      </c>
      <c r="H22" s="15">
        <v>990606.4</v>
      </c>
      <c r="I22" s="17">
        <f t="shared" si="2"/>
        <v>275168444.44444442</v>
      </c>
    </row>
    <row r="23" spans="1:9">
      <c r="A23" s="29">
        <f t="shared" si="1"/>
        <v>20</v>
      </c>
      <c r="B23" s="15">
        <f>514652857/1000</f>
        <v>514652.85700000002</v>
      </c>
      <c r="C23" s="16">
        <f t="shared" si="3"/>
        <v>142959126.94444445</v>
      </c>
      <c r="D23" s="3" t="s">
        <v>14</v>
      </c>
      <c r="E23" s="15"/>
      <c r="F23" s="21"/>
      <c r="G23" s="3"/>
      <c r="H23" s="15">
        <v>2508376.2000000002</v>
      </c>
      <c r="I23" s="17">
        <f t="shared" si="2"/>
        <v>696771166.66666675</v>
      </c>
    </row>
    <row r="24" spans="1:9">
      <c r="A24" s="29">
        <f t="shared" si="1"/>
        <v>21</v>
      </c>
      <c r="B24" s="15">
        <f>515005832/1000</f>
        <v>515005.83199999999</v>
      </c>
      <c r="C24" s="16">
        <f t="shared" si="3"/>
        <v>143057175.55555555</v>
      </c>
      <c r="D24" s="3" t="s">
        <v>14</v>
      </c>
      <c r="E24" s="27"/>
      <c r="F24" s="16"/>
      <c r="G24" s="3"/>
      <c r="H24" s="15">
        <v>3179464.8000000003</v>
      </c>
      <c r="I24" s="17">
        <f t="shared" si="2"/>
        <v>883184666.66666675</v>
      </c>
    </row>
    <row r="25" spans="1:9">
      <c r="A25" s="29">
        <f t="shared" si="1"/>
        <v>22</v>
      </c>
      <c r="B25" s="15">
        <f>514477508/1000</f>
        <v>514477.50799999997</v>
      </c>
      <c r="C25" s="16">
        <f t="shared" si="3"/>
        <v>142910418.88888887</v>
      </c>
      <c r="D25" s="3" t="s">
        <v>14</v>
      </c>
      <c r="E25" s="19"/>
      <c r="F25" s="16"/>
      <c r="G25" s="3"/>
      <c r="H25" s="15">
        <v>2657757.0918426756</v>
      </c>
      <c r="I25" s="17">
        <f t="shared" si="2"/>
        <v>738265858.84518766</v>
      </c>
    </row>
    <row r="26" spans="1:9">
      <c r="A26" s="29">
        <f t="shared" si="1"/>
        <v>23</v>
      </c>
      <c r="B26" s="15">
        <f>514395905/1000</f>
        <v>514395.90500000003</v>
      </c>
      <c r="C26" s="16">
        <f t="shared" si="3"/>
        <v>142887751.3888889</v>
      </c>
      <c r="D26" s="3" t="s">
        <v>14</v>
      </c>
      <c r="E26" s="15"/>
      <c r="F26" s="16"/>
      <c r="G26" s="3"/>
      <c r="H26" s="15">
        <v>2135362.9975632811</v>
      </c>
      <c r="I26" s="17">
        <f t="shared" si="2"/>
        <v>593156388.21202254</v>
      </c>
    </row>
    <row r="27" spans="1:9">
      <c r="A27" s="29">
        <f t="shared" si="1"/>
        <v>24</v>
      </c>
      <c r="B27" s="15">
        <f>514762488/1000</f>
        <v>514762.48800000001</v>
      </c>
      <c r="C27" s="16">
        <f t="shared" si="3"/>
        <v>142989580</v>
      </c>
      <c r="D27" s="3" t="s">
        <v>14</v>
      </c>
      <c r="E27" s="15"/>
      <c r="F27" s="16"/>
      <c r="G27" s="3"/>
      <c r="H27" s="15">
        <v>1612217.7000000002</v>
      </c>
      <c r="I27" s="17">
        <f t="shared" si="2"/>
        <v>447838250.00000006</v>
      </c>
    </row>
    <row r="28" spans="1:9">
      <c r="A28" s="32">
        <f t="shared" si="1"/>
        <v>25</v>
      </c>
      <c r="B28" s="15">
        <f>633269306/1000</f>
        <v>633269.30599999998</v>
      </c>
      <c r="C28" s="16">
        <f t="shared" si="3"/>
        <v>175908140.55555555</v>
      </c>
      <c r="D28" s="3" t="s">
        <v>14</v>
      </c>
      <c r="E28" s="15">
        <f>3466917119/1000</f>
        <v>3466917.1189999999</v>
      </c>
      <c r="F28" s="16">
        <f>(E28/3.6)*1000</f>
        <v>963032533.05555558</v>
      </c>
      <c r="G28" s="3" t="s">
        <v>14</v>
      </c>
      <c r="H28" s="15">
        <v>1088645.2</v>
      </c>
      <c r="I28" s="17">
        <f t="shared" si="2"/>
        <v>302401444.44444442</v>
      </c>
    </row>
    <row r="29" spans="1:9">
      <c r="A29" s="32">
        <f t="shared" si="1"/>
        <v>26</v>
      </c>
      <c r="B29" s="15">
        <f>632535048/1000</f>
        <v>632535.04799999995</v>
      </c>
      <c r="C29" s="16">
        <f t="shared" si="3"/>
        <v>175704180</v>
      </c>
      <c r="D29" s="3" t="s">
        <v>14</v>
      </c>
      <c r="E29" s="27"/>
      <c r="F29" s="16"/>
      <c r="G29" s="3"/>
      <c r="H29" s="15">
        <v>3191418.4000000004</v>
      </c>
      <c r="I29" s="17">
        <f t="shared" si="2"/>
        <v>886505111.11111128</v>
      </c>
    </row>
    <row r="30" spans="1:9">
      <c r="A30" s="29">
        <f t="shared" si="1"/>
        <v>27</v>
      </c>
      <c r="B30" s="15">
        <f>731951946/1000</f>
        <v>731951.946</v>
      </c>
      <c r="C30" s="16">
        <f t="shared" si="3"/>
        <v>203319985</v>
      </c>
      <c r="D30" s="3" t="s">
        <v>14</v>
      </c>
      <c r="E30" s="15"/>
      <c r="F30" s="16"/>
      <c r="G30" s="3"/>
      <c r="H30" s="15">
        <v>3290276.6</v>
      </c>
      <c r="I30" s="17">
        <f t="shared" si="2"/>
        <v>913965722.22222221</v>
      </c>
    </row>
    <row r="31" spans="1:9">
      <c r="A31" s="29">
        <f t="shared" si="1"/>
        <v>28</v>
      </c>
      <c r="B31" s="15">
        <f>731938300/1000</f>
        <v>731938.3</v>
      </c>
      <c r="C31" s="16">
        <f t="shared" si="3"/>
        <v>203316194.44444445</v>
      </c>
      <c r="D31" s="3" t="s">
        <v>14</v>
      </c>
      <c r="E31" s="27"/>
      <c r="F31" s="16"/>
      <c r="G31" s="3"/>
      <c r="H31" s="15">
        <v>2546767.5</v>
      </c>
      <c r="I31" s="17">
        <f t="shared" si="2"/>
        <v>707435416.66666663</v>
      </c>
    </row>
    <row r="32" spans="1:9">
      <c r="A32" s="29">
        <f t="shared" si="1"/>
        <v>29</v>
      </c>
      <c r="B32" s="15">
        <f>850842335/1000</f>
        <v>850842.33499999996</v>
      </c>
      <c r="C32" s="16">
        <f t="shared" si="3"/>
        <v>236345093.05555555</v>
      </c>
      <c r="D32" s="3" t="s">
        <v>14</v>
      </c>
      <c r="E32" s="15">
        <v>3181327.3930000002</v>
      </c>
      <c r="F32" s="16">
        <f>(E32/3.6)*1000</f>
        <v>883702053.61111116</v>
      </c>
      <c r="G32" s="3" t="s">
        <v>14</v>
      </c>
      <c r="H32" s="15">
        <v>1806005.8</v>
      </c>
      <c r="I32" s="17">
        <f t="shared" si="2"/>
        <v>501668277.77777773</v>
      </c>
    </row>
    <row r="33" spans="1:10">
      <c r="A33" s="29">
        <f t="shared" si="1"/>
        <v>30</v>
      </c>
      <c r="B33" s="15">
        <f>791425579/1000</f>
        <v>791425.57900000003</v>
      </c>
      <c r="C33" s="16">
        <f t="shared" si="3"/>
        <v>219840438.6111111</v>
      </c>
      <c r="D33" s="3" t="s">
        <v>14</v>
      </c>
      <c r="E33" s="15"/>
      <c r="F33" s="16"/>
      <c r="G33" s="3"/>
      <c r="H33" s="15">
        <v>3658572.8000000003</v>
      </c>
      <c r="I33" s="17">
        <f t="shared" si="2"/>
        <v>1016270222.2222222</v>
      </c>
    </row>
    <row r="34" spans="1:10">
      <c r="A34" s="51"/>
      <c r="B34" s="25"/>
      <c r="C34" s="25"/>
      <c r="D34" s="26"/>
      <c r="E34" s="25"/>
      <c r="F34" s="25"/>
      <c r="G34" s="26"/>
      <c r="H34" s="25"/>
      <c r="I34" s="25"/>
    </row>
    <row r="35" spans="1:10" ht="27" customHeight="1">
      <c r="A35" s="7" t="s">
        <v>3</v>
      </c>
      <c r="B35" s="163" t="s">
        <v>17</v>
      </c>
      <c r="C35" s="163"/>
      <c r="D35" s="163"/>
      <c r="E35" s="164"/>
      <c r="F35" s="164"/>
      <c r="G35" s="164"/>
      <c r="H35" s="164"/>
      <c r="I35" s="50"/>
      <c r="J35" s="50"/>
    </row>
    <row r="36" spans="1:10" ht="27" customHeight="1">
      <c r="A36" s="7" t="s">
        <v>4</v>
      </c>
      <c r="B36" s="165" t="s">
        <v>13</v>
      </c>
      <c r="C36" s="165"/>
      <c r="D36" s="165"/>
      <c r="E36" s="165"/>
      <c r="F36" s="165"/>
      <c r="G36" s="165"/>
      <c r="H36" s="165"/>
      <c r="I36" s="47"/>
      <c r="J36" s="50"/>
    </row>
    <row r="37" spans="1:10" ht="27" customHeight="1">
      <c r="A37" s="7" t="s">
        <v>5</v>
      </c>
      <c r="B37" s="165" t="s">
        <v>18</v>
      </c>
      <c r="C37" s="165"/>
      <c r="D37" s="165"/>
      <c r="E37" s="166"/>
      <c r="F37" s="166"/>
      <c r="G37" s="166"/>
      <c r="H37" s="166"/>
      <c r="I37" s="48"/>
      <c r="J37" s="48"/>
    </row>
    <row r="38" spans="1:10" ht="27" customHeight="1">
      <c r="A38" s="7" t="s">
        <v>6</v>
      </c>
      <c r="B38" s="165" t="s">
        <v>0</v>
      </c>
      <c r="C38" s="165"/>
      <c r="D38" s="165"/>
      <c r="E38" s="165"/>
      <c r="F38" s="165"/>
      <c r="G38" s="165"/>
      <c r="H38" s="165"/>
      <c r="I38" s="47"/>
      <c r="J38" s="48"/>
    </row>
    <row r="39" spans="1:10" ht="27" customHeight="1">
      <c r="A39" s="7" t="s">
        <v>7</v>
      </c>
      <c r="B39" s="165" t="s">
        <v>16</v>
      </c>
      <c r="C39" s="165"/>
      <c r="D39" s="165"/>
      <c r="E39" s="166"/>
      <c r="F39" s="166"/>
      <c r="G39" s="166"/>
      <c r="H39" s="166"/>
      <c r="I39" s="48"/>
      <c r="J39" s="4"/>
    </row>
    <row r="40" spans="1:10" ht="27" customHeight="1">
      <c r="A40" s="28" t="s">
        <v>19</v>
      </c>
      <c r="B40" s="149" t="s">
        <v>20</v>
      </c>
      <c r="C40" s="150"/>
      <c r="D40" s="150"/>
      <c r="E40" s="150"/>
      <c r="F40" s="150"/>
      <c r="G40" s="150"/>
      <c r="H40" s="150"/>
      <c r="I40" s="49"/>
      <c r="J40" s="6"/>
    </row>
    <row r="41" spans="1:10" ht="27" customHeight="1">
      <c r="A41" s="1"/>
      <c r="B41" s="1"/>
      <c r="C41" s="1"/>
      <c r="D41" s="1"/>
      <c r="E41" s="1"/>
      <c r="F41" s="1"/>
      <c r="G41" s="1"/>
      <c r="H41" s="1"/>
      <c r="I41" s="1"/>
    </row>
    <row r="42" spans="1:10" ht="27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10" ht="27" customHeight="1">
      <c r="A43" s="1"/>
      <c r="B43" s="1"/>
      <c r="C43" s="1"/>
      <c r="D43" s="1"/>
      <c r="E43" s="1"/>
      <c r="F43" s="1"/>
      <c r="G43" s="1"/>
      <c r="H43" s="1"/>
      <c r="I43" s="1"/>
    </row>
  </sheetData>
  <mergeCells count="13">
    <mergeCell ref="B40:H40"/>
    <mergeCell ref="A1:I1"/>
    <mergeCell ref="A2:A3"/>
    <mergeCell ref="B2:C2"/>
    <mergeCell ref="D2:D3"/>
    <mergeCell ref="E2:F2"/>
    <mergeCell ref="G2:G3"/>
    <mergeCell ref="H2:I2"/>
    <mergeCell ref="B35:H35"/>
    <mergeCell ref="B36:H36"/>
    <mergeCell ref="B37:H37"/>
    <mergeCell ref="B38:H38"/>
    <mergeCell ref="B39:H3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sqref="A1:XFD1048576"/>
    </sheetView>
  </sheetViews>
  <sheetFormatPr defaultRowHeight="12.75"/>
  <cols>
    <col min="1" max="1" width="10.140625" customWidth="1"/>
    <col min="2" max="2" width="16.85546875" customWidth="1"/>
    <col min="3" max="3" width="16.5703125" customWidth="1"/>
    <col min="4" max="4" width="19.85546875" customWidth="1"/>
    <col min="5" max="6" width="17.140625" customWidth="1"/>
    <col min="7" max="7" width="19.85546875" customWidth="1"/>
    <col min="8" max="8" width="16.85546875" customWidth="1"/>
    <col min="9" max="9" width="17.140625" customWidth="1"/>
  </cols>
  <sheetData>
    <row r="1" spans="1:9" ht="54" customHeight="1" thickBot="1">
      <c r="A1" s="151" t="s">
        <v>25</v>
      </c>
      <c r="B1" s="151"/>
      <c r="C1" s="151"/>
      <c r="D1" s="151"/>
      <c r="E1" s="151"/>
      <c r="F1" s="151"/>
      <c r="G1" s="151"/>
      <c r="H1" s="151"/>
      <c r="I1" s="151"/>
    </row>
    <row r="2" spans="1:9">
      <c r="A2" s="152" t="s">
        <v>11</v>
      </c>
      <c r="B2" s="153" t="s">
        <v>2</v>
      </c>
      <c r="C2" s="154"/>
      <c r="D2" s="155" t="s">
        <v>12</v>
      </c>
      <c r="E2" s="157" t="s">
        <v>8</v>
      </c>
      <c r="F2" s="158"/>
      <c r="G2" s="159" t="s">
        <v>9</v>
      </c>
      <c r="H2" s="161" t="s">
        <v>10</v>
      </c>
      <c r="I2" s="162"/>
    </row>
    <row r="3" spans="1:9">
      <c r="A3" s="152"/>
      <c r="B3" s="5" t="s">
        <v>1</v>
      </c>
      <c r="C3" s="10" t="s">
        <v>15</v>
      </c>
      <c r="D3" s="156"/>
      <c r="E3" s="2" t="s">
        <v>1</v>
      </c>
      <c r="F3" s="11" t="s">
        <v>15</v>
      </c>
      <c r="G3" s="160"/>
      <c r="H3" s="12" t="s">
        <v>1</v>
      </c>
      <c r="I3" s="13" t="s">
        <v>15</v>
      </c>
    </row>
    <row r="4" spans="1:9">
      <c r="A4" s="29">
        <v>1</v>
      </c>
      <c r="B4" s="15">
        <f>692046620/1000</f>
        <v>692046.62</v>
      </c>
      <c r="C4" s="16">
        <f t="shared" ref="C4:C21" si="0">(B4/3.6)*1000</f>
        <v>192235172.22222224</v>
      </c>
      <c r="D4" s="3" t="s">
        <v>14</v>
      </c>
      <c r="E4" s="15"/>
      <c r="F4" s="16"/>
      <c r="G4" s="3"/>
      <c r="H4" s="15">
        <v>3343031.5</v>
      </c>
      <c r="I4" s="17">
        <f>(H4/3.6)*1000</f>
        <v>928619861.11111116</v>
      </c>
    </row>
    <row r="5" spans="1:9">
      <c r="A5" s="32">
        <f>A4+1</f>
        <v>2</v>
      </c>
      <c r="B5" s="15">
        <f>691964444/1000</f>
        <v>691964.44400000002</v>
      </c>
      <c r="C5" s="16">
        <f t="shared" si="0"/>
        <v>192212345.55555558</v>
      </c>
      <c r="D5" s="3" t="s">
        <v>14</v>
      </c>
      <c r="E5" s="15"/>
      <c r="F5" s="16"/>
      <c r="G5" s="3"/>
      <c r="H5" s="15">
        <v>2637576.3000000003</v>
      </c>
      <c r="I5" s="17">
        <f t="shared" ref="I5:I34" si="1">(H5/3.6)*1000</f>
        <v>732660083.33333337</v>
      </c>
    </row>
    <row r="6" spans="1:9">
      <c r="A6" s="32">
        <f t="shared" ref="A6:A34" si="2">A5+1</f>
        <v>3</v>
      </c>
      <c r="B6" s="15">
        <f>534443251/1000</f>
        <v>534443.25100000005</v>
      </c>
      <c r="C6" s="16">
        <f t="shared" si="0"/>
        <v>148456458.61111113</v>
      </c>
      <c r="D6" s="3" t="s">
        <v>14</v>
      </c>
      <c r="E6" s="27"/>
      <c r="F6" s="16"/>
      <c r="G6" s="3"/>
      <c r="H6" s="15">
        <v>1936579.6</v>
      </c>
      <c r="I6" s="17">
        <f t="shared" si="1"/>
        <v>537938777.77777779</v>
      </c>
    </row>
    <row r="7" spans="1:9">
      <c r="A7" s="29">
        <f t="shared" si="2"/>
        <v>4</v>
      </c>
      <c r="B7" s="15">
        <f>732465890/1000</f>
        <v>732465.89</v>
      </c>
      <c r="C7" s="16">
        <f t="shared" si="0"/>
        <v>203462747.22222221</v>
      </c>
      <c r="D7" s="3" t="s">
        <v>14</v>
      </c>
      <c r="E7" s="15">
        <v>3477422.5759999999</v>
      </c>
      <c r="F7" s="16">
        <f>(E7/3.6)*1000</f>
        <v>965950715.55555558</v>
      </c>
      <c r="G7" s="20" t="s">
        <v>14</v>
      </c>
      <c r="H7" s="15">
        <v>1396016.6</v>
      </c>
      <c r="I7" s="17">
        <f t="shared" si="1"/>
        <v>387782388.88888896</v>
      </c>
    </row>
    <row r="8" spans="1:9">
      <c r="A8" s="29">
        <f t="shared" si="2"/>
        <v>5</v>
      </c>
      <c r="B8" s="15">
        <f>731782538/1000</f>
        <v>731782.53799999994</v>
      </c>
      <c r="C8" s="16">
        <f t="shared" si="0"/>
        <v>203272927.22222221</v>
      </c>
      <c r="D8" s="3" t="s">
        <v>14</v>
      </c>
      <c r="E8" s="33"/>
      <c r="F8" s="21"/>
      <c r="G8" s="3"/>
      <c r="H8" s="15">
        <v>2431376.7000000002</v>
      </c>
      <c r="I8" s="17">
        <f t="shared" si="1"/>
        <v>675382416.66666675</v>
      </c>
    </row>
    <row r="9" spans="1:9">
      <c r="A9" s="8">
        <f t="shared" si="2"/>
        <v>6</v>
      </c>
      <c r="B9" s="15">
        <f>732025232/1000</f>
        <v>732025.23199999996</v>
      </c>
      <c r="C9" s="16">
        <f t="shared" si="0"/>
        <v>203340342.22222221</v>
      </c>
      <c r="D9" s="3" t="s">
        <v>14</v>
      </c>
      <c r="E9" s="33"/>
      <c r="F9" s="21"/>
      <c r="G9" s="3"/>
      <c r="H9" s="15">
        <v>3400437.7</v>
      </c>
      <c r="I9" s="17">
        <f t="shared" si="1"/>
        <v>944566027.77777779</v>
      </c>
    </row>
    <row r="10" spans="1:9">
      <c r="A10" s="29">
        <f t="shared" si="2"/>
        <v>7</v>
      </c>
      <c r="B10" s="15">
        <f>731982957/1000</f>
        <v>731982.95700000005</v>
      </c>
      <c r="C10" s="16">
        <f t="shared" si="0"/>
        <v>203328599.16666669</v>
      </c>
      <c r="D10" s="3" t="s">
        <v>14</v>
      </c>
      <c r="E10" s="56">
        <v>3299756.6690000002</v>
      </c>
      <c r="F10" s="16">
        <f>(E10/3.6)*1000</f>
        <v>916599074.72222233</v>
      </c>
      <c r="G10" s="3" t="s">
        <v>14</v>
      </c>
      <c r="H10" s="15">
        <v>2659194</v>
      </c>
      <c r="I10" s="17">
        <f t="shared" si="1"/>
        <v>738665000</v>
      </c>
    </row>
    <row r="11" spans="1:9">
      <c r="A11" s="29">
        <f t="shared" si="2"/>
        <v>8</v>
      </c>
      <c r="B11" s="15">
        <f>850803573/1000</f>
        <v>850803.57299999997</v>
      </c>
      <c r="C11" s="16">
        <f t="shared" si="0"/>
        <v>236334325.83333331</v>
      </c>
      <c r="D11" s="3" t="s">
        <v>14</v>
      </c>
      <c r="E11" s="24"/>
      <c r="F11" s="21"/>
      <c r="G11" s="3"/>
      <c r="H11" s="15">
        <v>4139536.5000000005</v>
      </c>
      <c r="I11" s="17">
        <f t="shared" si="1"/>
        <v>1149871250</v>
      </c>
    </row>
    <row r="12" spans="1:9">
      <c r="A12" s="32">
        <f t="shared" si="2"/>
        <v>9</v>
      </c>
      <c r="B12" s="15">
        <f>672891144/1000</f>
        <v>672891.14399999997</v>
      </c>
      <c r="C12" s="16">
        <f t="shared" si="0"/>
        <v>186914206.66666666</v>
      </c>
      <c r="D12" s="3" t="s">
        <v>14</v>
      </c>
      <c r="E12" s="27"/>
      <c r="F12" s="21"/>
      <c r="G12" s="3"/>
      <c r="H12" s="15">
        <v>4378463.9000000004</v>
      </c>
      <c r="I12" s="17">
        <f t="shared" si="1"/>
        <v>1216239972.2222223</v>
      </c>
    </row>
    <row r="13" spans="1:9">
      <c r="A13" s="32">
        <f t="shared" si="2"/>
        <v>10</v>
      </c>
      <c r="B13" s="15">
        <f>553853412/1000</f>
        <v>553853.41200000001</v>
      </c>
      <c r="C13" s="16">
        <f t="shared" si="0"/>
        <v>153848170</v>
      </c>
      <c r="D13" s="3" t="s">
        <v>14</v>
      </c>
      <c r="E13" s="15"/>
      <c r="F13" s="16"/>
      <c r="G13" s="3"/>
      <c r="H13" s="15">
        <v>3700289.9000000004</v>
      </c>
      <c r="I13" s="17">
        <f t="shared" si="1"/>
        <v>1027858305.5555556</v>
      </c>
    </row>
    <row r="14" spans="1:9">
      <c r="A14" s="29">
        <f t="shared" si="2"/>
        <v>11</v>
      </c>
      <c r="B14" s="15">
        <f>727848431/1000</f>
        <v>727848.43099999998</v>
      </c>
      <c r="C14" s="16">
        <f t="shared" si="0"/>
        <v>202180119.72222221</v>
      </c>
      <c r="D14" s="3" t="s">
        <v>14</v>
      </c>
      <c r="E14" s="15">
        <v>3320419.7760000001</v>
      </c>
      <c r="F14" s="16">
        <f>(E14/3.6)*1000</f>
        <v>922338826.66666663</v>
      </c>
      <c r="G14" s="3" t="s">
        <v>14</v>
      </c>
      <c r="H14" s="15">
        <v>3143170.2</v>
      </c>
      <c r="I14" s="17">
        <f t="shared" si="1"/>
        <v>873102833.33333337</v>
      </c>
    </row>
    <row r="15" spans="1:9">
      <c r="A15" s="29">
        <f t="shared" si="2"/>
        <v>12</v>
      </c>
      <c r="B15" s="15">
        <f>830991011/1000</f>
        <v>830991.01100000006</v>
      </c>
      <c r="C15" s="16">
        <f t="shared" si="0"/>
        <v>230830836.3888889</v>
      </c>
      <c r="D15" s="3" t="s">
        <v>14</v>
      </c>
      <c r="E15" s="24"/>
      <c r="F15" s="21"/>
      <c r="G15" s="3"/>
      <c r="H15" s="15">
        <v>3916053.6427552737</v>
      </c>
      <c r="I15" s="17">
        <f t="shared" si="1"/>
        <v>1087792678.5431316</v>
      </c>
    </row>
    <row r="16" spans="1:9">
      <c r="A16" s="29">
        <f t="shared" si="2"/>
        <v>13</v>
      </c>
      <c r="B16" s="15">
        <f>811688078/1000</f>
        <v>811688.07799999998</v>
      </c>
      <c r="C16" s="16">
        <f t="shared" si="0"/>
        <v>225468910.55555555</v>
      </c>
      <c r="D16" s="3" t="s">
        <v>14</v>
      </c>
      <c r="E16" s="23"/>
      <c r="F16" s="16"/>
      <c r="G16" s="3"/>
      <c r="H16" s="15">
        <v>4896903.1000000006</v>
      </c>
      <c r="I16" s="17">
        <f t="shared" si="1"/>
        <v>1360250861.1111112</v>
      </c>
    </row>
    <row r="17" spans="1:9">
      <c r="A17" s="29">
        <f t="shared" si="2"/>
        <v>14</v>
      </c>
      <c r="B17" s="15">
        <f>625112182/1000</f>
        <v>625112.18200000003</v>
      </c>
      <c r="C17" s="16">
        <f t="shared" si="0"/>
        <v>173642272.77777779</v>
      </c>
      <c r="D17" s="3" t="s">
        <v>14</v>
      </c>
      <c r="E17" s="24"/>
      <c r="F17" s="21"/>
      <c r="G17" s="3"/>
      <c r="H17" s="15">
        <v>4074490.6</v>
      </c>
      <c r="I17" s="17">
        <f t="shared" si="1"/>
        <v>1131802944.4444444</v>
      </c>
    </row>
    <row r="18" spans="1:9">
      <c r="A18" s="29">
        <f t="shared" si="2"/>
        <v>15</v>
      </c>
      <c r="B18" s="15">
        <f>625128521/1000</f>
        <v>625128.52099999995</v>
      </c>
      <c r="C18" s="16">
        <f t="shared" si="0"/>
        <v>173646811.38888887</v>
      </c>
      <c r="D18" s="3" t="s">
        <v>14</v>
      </c>
      <c r="E18" s="24"/>
      <c r="F18" s="21"/>
      <c r="G18" s="9"/>
      <c r="H18" s="15">
        <v>3443528.5</v>
      </c>
      <c r="I18" s="17">
        <f t="shared" si="1"/>
        <v>956535694.44444442</v>
      </c>
    </row>
    <row r="19" spans="1:9">
      <c r="A19" s="32">
        <f t="shared" si="2"/>
        <v>16</v>
      </c>
      <c r="B19" s="15">
        <f>395544285/1000</f>
        <v>395544.28499999997</v>
      </c>
      <c r="C19" s="16">
        <f t="shared" si="0"/>
        <v>109873412.49999999</v>
      </c>
      <c r="D19" s="3" t="s">
        <v>14</v>
      </c>
      <c r="E19" s="24"/>
      <c r="F19" s="21"/>
      <c r="G19" s="9"/>
      <c r="H19" s="15">
        <v>2808879.1</v>
      </c>
      <c r="I19" s="17">
        <f t="shared" si="1"/>
        <v>780244194.44444454</v>
      </c>
    </row>
    <row r="20" spans="1:9">
      <c r="A20" s="32">
        <f t="shared" si="2"/>
        <v>17</v>
      </c>
      <c r="B20" s="15">
        <f>355823443/1000</f>
        <v>355823.44300000003</v>
      </c>
      <c r="C20" s="16">
        <f t="shared" si="0"/>
        <v>98839845.277777791</v>
      </c>
      <c r="D20" s="3" t="s">
        <v>14</v>
      </c>
      <c r="E20" s="24"/>
      <c r="F20" s="21"/>
      <c r="G20" s="9"/>
      <c r="H20" s="15">
        <v>2409616.7560809571</v>
      </c>
      <c r="I20" s="17">
        <f t="shared" si="1"/>
        <v>669337987.80026591</v>
      </c>
    </row>
    <row r="21" spans="1:9">
      <c r="A21" s="29">
        <f t="shared" si="2"/>
        <v>18</v>
      </c>
      <c r="B21" s="15">
        <f>514591820/1000</f>
        <v>514591.82</v>
      </c>
      <c r="C21" s="16">
        <f t="shared" si="0"/>
        <v>142942172.22222224</v>
      </c>
      <c r="D21" s="3" t="s">
        <v>14</v>
      </c>
      <c r="E21" s="24"/>
      <c r="F21" s="21"/>
      <c r="G21" s="9"/>
      <c r="H21" s="15">
        <v>2046457.4221042972</v>
      </c>
      <c r="I21" s="17">
        <f t="shared" si="1"/>
        <v>568460395.02897143</v>
      </c>
    </row>
    <row r="22" spans="1:9">
      <c r="A22" s="29">
        <f t="shared" si="2"/>
        <v>19</v>
      </c>
      <c r="B22" s="15">
        <f>514746222/1000</f>
        <v>514746.22200000001</v>
      </c>
      <c r="C22" s="16">
        <f t="shared" ref="C22:C34" si="3">(B22/3.6)*1000</f>
        <v>142985061.66666669</v>
      </c>
      <c r="D22" s="3" t="s">
        <v>14</v>
      </c>
      <c r="E22" s="15"/>
      <c r="F22" s="16"/>
      <c r="G22" s="3"/>
      <c r="H22" s="15">
        <v>1522589.6726983401</v>
      </c>
      <c r="I22" s="17">
        <f t="shared" si="1"/>
        <v>422941575.7495389</v>
      </c>
    </row>
    <row r="23" spans="1:9">
      <c r="A23" s="29">
        <f t="shared" si="2"/>
        <v>20</v>
      </c>
      <c r="B23" s="15">
        <f>514411340/1000</f>
        <v>514411.34</v>
      </c>
      <c r="C23" s="16">
        <f t="shared" si="3"/>
        <v>142892038.8888889</v>
      </c>
      <c r="D23" s="3" t="s">
        <v>14</v>
      </c>
      <c r="E23" s="15">
        <v>3471112.6549999998</v>
      </c>
      <c r="F23" s="16">
        <f>(E23/3.6)*1000</f>
        <v>964197959.72222221</v>
      </c>
      <c r="G23" s="3" t="s">
        <v>14</v>
      </c>
      <c r="H23" s="15">
        <v>997981.00000000012</v>
      </c>
      <c r="I23" s="17">
        <f t="shared" si="1"/>
        <v>277216944.44444448</v>
      </c>
    </row>
    <row r="24" spans="1:9">
      <c r="A24" s="29">
        <f t="shared" si="2"/>
        <v>21</v>
      </c>
      <c r="B24" s="15">
        <f>514598996/1000</f>
        <v>514598.99599999998</v>
      </c>
      <c r="C24" s="16">
        <f t="shared" si="3"/>
        <v>142944165.55555555</v>
      </c>
      <c r="D24" s="3" t="s">
        <v>14</v>
      </c>
      <c r="E24" s="27"/>
      <c r="F24" s="16"/>
      <c r="G24" s="3"/>
      <c r="H24" s="15">
        <v>3965004.3000000003</v>
      </c>
      <c r="I24" s="17">
        <f t="shared" si="1"/>
        <v>1101390083.3333335</v>
      </c>
    </row>
    <row r="25" spans="1:9">
      <c r="A25" s="29">
        <f t="shared" si="2"/>
        <v>22</v>
      </c>
      <c r="B25" s="15">
        <f>514529339/1000</f>
        <v>514529.33899999998</v>
      </c>
      <c r="C25" s="16">
        <f t="shared" si="3"/>
        <v>142924816.38888887</v>
      </c>
      <c r="D25" s="3" t="s">
        <v>14</v>
      </c>
      <c r="E25" s="19"/>
      <c r="F25" s="16"/>
      <c r="G25" s="3"/>
      <c r="H25" s="15">
        <v>3442203</v>
      </c>
      <c r="I25" s="17">
        <f t="shared" si="1"/>
        <v>956167500</v>
      </c>
    </row>
    <row r="26" spans="1:9">
      <c r="A26" s="32">
        <f t="shared" si="2"/>
        <v>23</v>
      </c>
      <c r="B26" s="15">
        <f>376064898/1000</f>
        <v>376064.89799999999</v>
      </c>
      <c r="C26" s="16">
        <f t="shared" si="3"/>
        <v>104462471.66666667</v>
      </c>
      <c r="D26" s="3" t="s">
        <v>14</v>
      </c>
      <c r="E26" s="15"/>
      <c r="F26" s="16"/>
      <c r="G26" s="3"/>
      <c r="H26" s="15">
        <v>2924462.7</v>
      </c>
      <c r="I26" s="17">
        <f t="shared" si="1"/>
        <v>812350750</v>
      </c>
    </row>
    <row r="27" spans="1:9">
      <c r="A27" s="32">
        <f t="shared" si="2"/>
        <v>24</v>
      </c>
      <c r="B27" s="15">
        <f>355974233/1000</f>
        <v>355974.23300000001</v>
      </c>
      <c r="C27" s="16">
        <f t="shared" si="3"/>
        <v>98881731.388888896</v>
      </c>
      <c r="D27" s="3" t="s">
        <v>14</v>
      </c>
      <c r="E27" s="15"/>
      <c r="F27" s="16"/>
      <c r="G27" s="3"/>
      <c r="H27" s="15">
        <v>2544863.6</v>
      </c>
      <c r="I27" s="17">
        <f t="shared" si="1"/>
        <v>706906555.55555558</v>
      </c>
    </row>
    <row r="28" spans="1:9">
      <c r="A28" s="29">
        <f t="shared" si="2"/>
        <v>25</v>
      </c>
      <c r="B28" s="15">
        <f>633429049/1000</f>
        <v>633429.049</v>
      </c>
      <c r="C28" s="16">
        <f t="shared" si="3"/>
        <v>175952513.61111113</v>
      </c>
      <c r="D28" s="3" t="s">
        <v>14</v>
      </c>
      <c r="E28" s="15"/>
      <c r="F28" s="16"/>
      <c r="G28" s="3"/>
      <c r="H28" s="15">
        <v>2180905.4</v>
      </c>
      <c r="I28" s="17">
        <f t="shared" si="1"/>
        <v>605807055.55555546</v>
      </c>
    </row>
    <row r="29" spans="1:9">
      <c r="A29" s="29">
        <f t="shared" si="2"/>
        <v>26</v>
      </c>
      <c r="B29" s="15">
        <f>653690377/1000</f>
        <v>653690.37699999998</v>
      </c>
      <c r="C29" s="16">
        <f t="shared" si="3"/>
        <v>181580660.27777776</v>
      </c>
      <c r="D29" s="3" t="s">
        <v>14</v>
      </c>
      <c r="E29" s="27"/>
      <c r="F29" s="16"/>
      <c r="G29" s="3"/>
      <c r="H29" s="15">
        <v>1534471.1</v>
      </c>
      <c r="I29" s="17">
        <f t="shared" si="1"/>
        <v>426241972.22222227</v>
      </c>
    </row>
    <row r="30" spans="1:9">
      <c r="A30" s="29">
        <f t="shared" si="2"/>
        <v>27</v>
      </c>
      <c r="B30" s="15">
        <f>673325599/1000</f>
        <v>673325.59900000005</v>
      </c>
      <c r="C30" s="16">
        <f t="shared" si="3"/>
        <v>187034888.61111113</v>
      </c>
      <c r="D30" s="3" t="s">
        <v>14</v>
      </c>
      <c r="E30" s="15"/>
      <c r="F30" s="16"/>
      <c r="G30" s="3"/>
      <c r="H30" s="15">
        <v>869190.60000000009</v>
      </c>
      <c r="I30" s="17">
        <f t="shared" si="1"/>
        <v>241441833.33333334</v>
      </c>
    </row>
    <row r="31" spans="1:9">
      <c r="A31" s="29">
        <f t="shared" si="2"/>
        <v>28</v>
      </c>
      <c r="B31" s="15">
        <f>673202685/1000</f>
        <v>673202.68500000006</v>
      </c>
      <c r="C31" s="16">
        <f t="shared" si="3"/>
        <v>187000745.83333334</v>
      </c>
      <c r="D31" s="3" t="s">
        <v>14</v>
      </c>
      <c r="E31" s="15">
        <v>3468963.46</v>
      </c>
      <c r="F31" s="16">
        <f>(E31/3.6)*1000</f>
        <v>963600961.11111104</v>
      </c>
      <c r="G31" s="3" t="s">
        <v>14</v>
      </c>
      <c r="H31" s="15">
        <v>186421.75467363276</v>
      </c>
      <c r="I31" s="17">
        <f t="shared" si="1"/>
        <v>51783820.742675766</v>
      </c>
    </row>
    <row r="32" spans="1:9">
      <c r="A32" s="29">
        <f t="shared" si="2"/>
        <v>29</v>
      </c>
      <c r="B32" s="15">
        <v>672934.69299999997</v>
      </c>
      <c r="C32" s="16">
        <f t="shared" si="3"/>
        <v>186926303.6111111</v>
      </c>
      <c r="D32" s="3" t="s">
        <v>14</v>
      </c>
      <c r="E32" s="15"/>
      <c r="F32" s="16"/>
      <c r="G32" s="3"/>
      <c r="H32" s="15">
        <v>2994190.6169562503</v>
      </c>
      <c r="I32" s="17">
        <f t="shared" si="1"/>
        <v>831719615.82118058</v>
      </c>
    </row>
    <row r="33" spans="1:10">
      <c r="A33" s="32">
        <f t="shared" si="2"/>
        <v>30</v>
      </c>
      <c r="B33" s="15">
        <v>634217.17799999996</v>
      </c>
      <c r="C33" s="16">
        <f t="shared" si="3"/>
        <v>176171438.33333331</v>
      </c>
      <c r="D33" s="3" t="s">
        <v>14</v>
      </c>
      <c r="E33" s="15"/>
      <c r="F33" s="16"/>
      <c r="G33" s="3"/>
      <c r="H33" s="15">
        <v>2313565.0791000002</v>
      </c>
      <c r="I33" s="17">
        <f t="shared" si="1"/>
        <v>642656966.41666675</v>
      </c>
    </row>
    <row r="34" spans="1:10">
      <c r="A34" s="32">
        <f t="shared" si="2"/>
        <v>31</v>
      </c>
      <c r="B34" s="15">
        <v>595270.73</v>
      </c>
      <c r="C34" s="16">
        <f t="shared" si="3"/>
        <v>165352980.55555555</v>
      </c>
      <c r="D34" s="3" t="s">
        <v>14</v>
      </c>
      <c r="E34" s="15">
        <v>3475166.6809999999</v>
      </c>
      <c r="F34" s="16">
        <f>(E34/3.6)*1000</f>
        <v>965324078.05555546</v>
      </c>
      <c r="G34" s="3" t="s">
        <v>14</v>
      </c>
      <c r="H34" s="15">
        <v>1667192.5610739256</v>
      </c>
      <c r="I34" s="17">
        <f t="shared" si="1"/>
        <v>463109044.74275708</v>
      </c>
    </row>
    <row r="35" spans="1:10">
      <c r="A35" s="51"/>
      <c r="B35" s="25"/>
      <c r="C35" s="25"/>
      <c r="D35" s="26"/>
      <c r="E35" s="25"/>
      <c r="F35" s="25"/>
      <c r="G35" s="26"/>
      <c r="H35" s="25"/>
      <c r="I35" s="25"/>
    </row>
    <row r="36" spans="1:10" ht="27" customHeight="1">
      <c r="A36" s="7" t="s">
        <v>3</v>
      </c>
      <c r="B36" s="163" t="s">
        <v>17</v>
      </c>
      <c r="C36" s="163"/>
      <c r="D36" s="163"/>
      <c r="E36" s="164"/>
      <c r="F36" s="164"/>
      <c r="G36" s="164"/>
      <c r="H36" s="164"/>
      <c r="I36" s="55"/>
      <c r="J36" s="55"/>
    </row>
    <row r="37" spans="1:10" ht="27" customHeight="1">
      <c r="A37" s="7" t="s">
        <v>4</v>
      </c>
      <c r="B37" s="165" t="s">
        <v>13</v>
      </c>
      <c r="C37" s="165"/>
      <c r="D37" s="165"/>
      <c r="E37" s="165"/>
      <c r="F37" s="165"/>
      <c r="G37" s="165"/>
      <c r="H37" s="165"/>
      <c r="I37" s="52"/>
      <c r="J37" s="55"/>
    </row>
    <row r="38" spans="1:10" ht="27" customHeight="1">
      <c r="A38" s="7" t="s">
        <v>5</v>
      </c>
      <c r="B38" s="165" t="s">
        <v>18</v>
      </c>
      <c r="C38" s="165"/>
      <c r="D38" s="165"/>
      <c r="E38" s="166"/>
      <c r="F38" s="166"/>
      <c r="G38" s="166"/>
      <c r="H38" s="166"/>
      <c r="I38" s="53"/>
      <c r="J38" s="53"/>
    </row>
    <row r="39" spans="1:10" ht="27" customHeight="1">
      <c r="A39" s="7" t="s">
        <v>6</v>
      </c>
      <c r="B39" s="165" t="s">
        <v>0</v>
      </c>
      <c r="C39" s="165"/>
      <c r="D39" s="165"/>
      <c r="E39" s="165"/>
      <c r="F39" s="165"/>
      <c r="G39" s="165"/>
      <c r="H39" s="165"/>
      <c r="I39" s="52"/>
      <c r="J39" s="53"/>
    </row>
    <row r="40" spans="1:10" ht="27" customHeight="1">
      <c r="A40" s="7" t="s">
        <v>7</v>
      </c>
      <c r="B40" s="165" t="s">
        <v>16</v>
      </c>
      <c r="C40" s="165"/>
      <c r="D40" s="165"/>
      <c r="E40" s="166"/>
      <c r="F40" s="166"/>
      <c r="G40" s="166"/>
      <c r="H40" s="166"/>
      <c r="I40" s="53"/>
      <c r="J40" s="4"/>
    </row>
    <row r="41" spans="1:10" ht="27" customHeight="1">
      <c r="A41" s="28" t="s">
        <v>19</v>
      </c>
      <c r="B41" s="149" t="s">
        <v>20</v>
      </c>
      <c r="C41" s="150"/>
      <c r="D41" s="150"/>
      <c r="E41" s="150"/>
      <c r="F41" s="150"/>
      <c r="G41" s="150"/>
      <c r="H41" s="150"/>
      <c r="I41" s="54"/>
      <c r="J41" s="6"/>
    </row>
    <row r="42" spans="1:10" ht="27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10" ht="27" customHeight="1">
      <c r="A43" s="1"/>
      <c r="B43" s="1"/>
      <c r="C43" s="1"/>
      <c r="D43" s="1"/>
      <c r="E43" s="1"/>
      <c r="F43" s="1"/>
      <c r="G43" s="1"/>
      <c r="H43" s="1"/>
      <c r="I43" s="1"/>
    </row>
    <row r="44" spans="1:10" ht="27" customHeight="1">
      <c r="A44" s="1"/>
      <c r="B44" s="1"/>
      <c r="C44" s="1"/>
      <c r="D44" s="1"/>
      <c r="E44" s="1"/>
      <c r="F44" s="1"/>
      <c r="G44" s="1"/>
      <c r="H44" s="1"/>
      <c r="I44" s="1"/>
    </row>
  </sheetData>
  <mergeCells count="13">
    <mergeCell ref="B41:H41"/>
    <mergeCell ref="A1:I1"/>
    <mergeCell ref="A2:A3"/>
    <mergeCell ref="B2:C2"/>
    <mergeCell ref="D2:D3"/>
    <mergeCell ref="E2:F2"/>
    <mergeCell ref="G2:G3"/>
    <mergeCell ref="H2:I2"/>
    <mergeCell ref="B36:H36"/>
    <mergeCell ref="B37:H37"/>
    <mergeCell ref="B38:H38"/>
    <mergeCell ref="B39:H39"/>
    <mergeCell ref="B40:H4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I39" sqref="I39"/>
    </sheetView>
  </sheetViews>
  <sheetFormatPr defaultRowHeight="12.75"/>
  <cols>
    <col min="1" max="1" width="10.140625" customWidth="1"/>
    <col min="2" max="2" width="16.85546875" customWidth="1"/>
    <col min="3" max="3" width="16.5703125" customWidth="1"/>
    <col min="4" max="4" width="19.85546875" customWidth="1"/>
    <col min="5" max="6" width="17.140625" customWidth="1"/>
    <col min="7" max="7" width="19.85546875" customWidth="1"/>
    <col min="8" max="8" width="16.85546875" customWidth="1"/>
    <col min="9" max="9" width="17.140625" customWidth="1"/>
  </cols>
  <sheetData>
    <row r="1" spans="1:9" ht="51" customHeight="1" thickBot="1">
      <c r="A1" s="151" t="s">
        <v>26</v>
      </c>
      <c r="B1" s="151"/>
      <c r="C1" s="151"/>
      <c r="D1" s="151"/>
      <c r="E1" s="151"/>
      <c r="F1" s="151"/>
      <c r="G1" s="151"/>
      <c r="H1" s="151"/>
      <c r="I1" s="151"/>
    </row>
    <row r="2" spans="1:9">
      <c r="A2" s="152" t="s">
        <v>11</v>
      </c>
      <c r="B2" s="153" t="s">
        <v>2</v>
      </c>
      <c r="C2" s="154"/>
      <c r="D2" s="155" t="s">
        <v>12</v>
      </c>
      <c r="E2" s="157" t="s">
        <v>8</v>
      </c>
      <c r="F2" s="158"/>
      <c r="G2" s="159" t="s">
        <v>9</v>
      </c>
      <c r="H2" s="161" t="s">
        <v>10</v>
      </c>
      <c r="I2" s="162"/>
    </row>
    <row r="3" spans="1:9">
      <c r="A3" s="152"/>
      <c r="B3" s="5" t="s">
        <v>1</v>
      </c>
      <c r="C3" s="10" t="s">
        <v>15</v>
      </c>
      <c r="D3" s="156"/>
      <c r="E3" s="2" t="s">
        <v>1</v>
      </c>
      <c r="F3" s="11" t="s">
        <v>15</v>
      </c>
      <c r="G3" s="160"/>
      <c r="H3" s="12" t="s">
        <v>1</v>
      </c>
      <c r="I3" s="13" t="s">
        <v>15</v>
      </c>
    </row>
    <row r="4" spans="1:9">
      <c r="A4" s="8">
        <v>1</v>
      </c>
      <c r="B4" s="15">
        <f>682994871/1000</f>
        <v>682994.87100000004</v>
      </c>
      <c r="C4" s="16">
        <f t="shared" ref="C4:C20" si="0">(B4/3.6)*1000</f>
        <v>189720797.50000003</v>
      </c>
      <c r="D4" s="3" t="s">
        <v>14</v>
      </c>
      <c r="E4" s="15"/>
      <c r="F4" s="16"/>
      <c r="G4" s="3"/>
      <c r="H4" s="15">
        <v>4551526</v>
      </c>
      <c r="I4" s="17">
        <f>(H4/3.6)*1000</f>
        <v>1264312777.7777777</v>
      </c>
    </row>
    <row r="5" spans="1:9">
      <c r="A5" s="14">
        <f>A4+1</f>
        <v>2</v>
      </c>
      <c r="B5" s="15">
        <f>643816225/1000</f>
        <v>643816.22499999998</v>
      </c>
      <c r="C5" s="16">
        <f t="shared" si="0"/>
        <v>178837840.27777779</v>
      </c>
      <c r="D5" s="3" t="s">
        <v>14</v>
      </c>
      <c r="E5" s="15"/>
      <c r="F5" s="16"/>
      <c r="G5" s="3"/>
      <c r="H5" s="15">
        <v>3864772.4000000004</v>
      </c>
      <c r="I5" s="17">
        <f>(H5/3.6)*1000</f>
        <v>1073547888.888889</v>
      </c>
    </row>
    <row r="6" spans="1:9">
      <c r="A6" s="8">
        <f>A5+1</f>
        <v>3</v>
      </c>
      <c r="B6" s="15">
        <f>733100897/1000</f>
        <v>733100.897</v>
      </c>
      <c r="C6" s="16">
        <f t="shared" si="0"/>
        <v>203639138.05555555</v>
      </c>
      <c r="D6" s="3" t="s">
        <v>14</v>
      </c>
      <c r="E6" s="15">
        <v>3143591.7319999998</v>
      </c>
      <c r="F6" s="16">
        <f>(E6/3.6)*1000</f>
        <v>873219925.55555546</v>
      </c>
      <c r="G6" s="3" t="s">
        <v>14</v>
      </c>
      <c r="H6" s="15">
        <v>3214698.4818500001</v>
      </c>
      <c r="I6" s="17">
        <f>(H6/3.6)*1000</f>
        <v>892971800.51388896</v>
      </c>
    </row>
    <row r="7" spans="1:9">
      <c r="A7" s="8">
        <f t="shared" ref="A7:A33" si="1">A6+1</f>
        <v>4</v>
      </c>
      <c r="B7" s="15">
        <f>673482665/1000</f>
        <v>673482.66500000004</v>
      </c>
      <c r="C7" s="16">
        <f t="shared" si="0"/>
        <v>187078518.05555555</v>
      </c>
      <c r="D7" s="3" t="s">
        <v>14</v>
      </c>
      <c r="E7" s="15"/>
      <c r="F7" s="16"/>
      <c r="G7" s="3"/>
      <c r="H7" s="15">
        <v>4268616.1000000006</v>
      </c>
      <c r="I7" s="17">
        <f>(H7/3.6)*1000</f>
        <v>1185726694.4444444</v>
      </c>
    </row>
    <row r="8" spans="1:9">
      <c r="A8" s="8">
        <f t="shared" si="1"/>
        <v>5</v>
      </c>
      <c r="B8" s="15">
        <f>673383384/1000</f>
        <v>673383.38399999996</v>
      </c>
      <c r="C8" s="16">
        <f t="shared" si="0"/>
        <v>187050939.99999997</v>
      </c>
      <c r="D8" s="3" t="s">
        <v>14</v>
      </c>
      <c r="E8" s="33"/>
      <c r="F8" s="21"/>
      <c r="G8" s="3"/>
      <c r="H8" s="15">
        <v>4959081.1000000006</v>
      </c>
      <c r="I8" s="17">
        <f t="shared" ref="I8:I33" si="2">(H8/3.6)*1000</f>
        <v>1377522527.7777779</v>
      </c>
    </row>
    <row r="9" spans="1:9">
      <c r="A9" s="18">
        <f t="shared" si="1"/>
        <v>6</v>
      </c>
      <c r="B9" s="15">
        <f>633715974/1000</f>
        <v>633715.97400000005</v>
      </c>
      <c r="C9" s="16">
        <f t="shared" si="0"/>
        <v>176032215</v>
      </c>
      <c r="D9" s="3" t="s">
        <v>14</v>
      </c>
      <c r="E9" s="33"/>
      <c r="F9" s="21"/>
      <c r="G9" s="3"/>
      <c r="H9" s="15">
        <v>4273219.2</v>
      </c>
      <c r="I9" s="17">
        <f t="shared" si="2"/>
        <v>1187005333.3333333</v>
      </c>
    </row>
    <row r="10" spans="1:9">
      <c r="A10" s="18">
        <f t="shared" si="1"/>
        <v>7</v>
      </c>
      <c r="B10" s="15">
        <f>634083220/1000</f>
        <v>634083.22</v>
      </c>
      <c r="C10" s="16">
        <f t="shared" si="0"/>
        <v>176134227.77777776</v>
      </c>
      <c r="D10" s="3" t="s">
        <v>14</v>
      </c>
      <c r="E10" s="56"/>
      <c r="F10" s="16"/>
      <c r="G10" s="3"/>
      <c r="H10" s="15">
        <v>3632713.5</v>
      </c>
      <c r="I10" s="17">
        <f t="shared" si="2"/>
        <v>1009087083.3333333</v>
      </c>
    </row>
    <row r="11" spans="1:9">
      <c r="A11" s="8">
        <f t="shared" si="1"/>
        <v>8</v>
      </c>
      <c r="B11" s="15">
        <f>634153400/1000</f>
        <v>634153.4</v>
      </c>
      <c r="C11" s="16">
        <f t="shared" si="0"/>
        <v>176153722.22222221</v>
      </c>
      <c r="D11" s="3" t="s">
        <v>14</v>
      </c>
      <c r="E11" s="24"/>
      <c r="F11" s="21"/>
      <c r="G11" s="3"/>
      <c r="H11" s="15">
        <v>2991975.34345</v>
      </c>
      <c r="I11" s="17">
        <f t="shared" si="2"/>
        <v>831104262.06944442</v>
      </c>
    </row>
    <row r="12" spans="1:9">
      <c r="A12" s="14">
        <f t="shared" si="1"/>
        <v>9</v>
      </c>
      <c r="B12" s="15">
        <f>634283492/1000</f>
        <v>634283.49199999997</v>
      </c>
      <c r="C12" s="16">
        <f t="shared" si="0"/>
        <v>176189858.88888887</v>
      </c>
      <c r="D12" s="3" t="s">
        <v>14</v>
      </c>
      <c r="E12" s="27"/>
      <c r="F12" s="21"/>
      <c r="G12" s="3"/>
      <c r="H12" s="15">
        <v>2350424.8000000003</v>
      </c>
      <c r="I12" s="17">
        <f t="shared" si="2"/>
        <v>652895777.77777791</v>
      </c>
    </row>
    <row r="13" spans="1:9">
      <c r="A13" s="8">
        <f t="shared" si="1"/>
        <v>10</v>
      </c>
      <c r="B13" s="15">
        <f>634476743/1000</f>
        <v>634476.74300000002</v>
      </c>
      <c r="C13" s="16">
        <f t="shared" si="0"/>
        <v>176243539.72222221</v>
      </c>
      <c r="D13" s="3" t="s">
        <v>14</v>
      </c>
      <c r="E13" s="15"/>
      <c r="F13" s="16"/>
      <c r="G13" s="3"/>
      <c r="H13" s="15">
        <v>1707870.6</v>
      </c>
      <c r="I13" s="17">
        <f t="shared" si="2"/>
        <v>474408500</v>
      </c>
    </row>
    <row r="14" spans="1:9">
      <c r="A14" s="8">
        <f t="shared" si="1"/>
        <v>11</v>
      </c>
      <c r="B14" s="15">
        <f>515487135/1000</f>
        <v>515487.13500000001</v>
      </c>
      <c r="C14" s="16">
        <f t="shared" si="0"/>
        <v>143190870.83333331</v>
      </c>
      <c r="D14" s="3" t="s">
        <v>14</v>
      </c>
      <c r="E14" s="15">
        <v>3331353.7570000002</v>
      </c>
      <c r="F14" s="16">
        <f>(E14/3.6)*1000</f>
        <v>925376043.61111116</v>
      </c>
      <c r="G14" s="3" t="s">
        <v>14</v>
      </c>
      <c r="H14" s="15">
        <v>1065292.3</v>
      </c>
      <c r="I14" s="17">
        <f t="shared" si="2"/>
        <v>295914527.77777779</v>
      </c>
    </row>
    <row r="15" spans="1:9">
      <c r="A15" s="8">
        <f t="shared" si="1"/>
        <v>12</v>
      </c>
      <c r="B15" s="15">
        <f>514921375/1000</f>
        <v>514921.375</v>
      </c>
      <c r="C15" s="16">
        <f t="shared" si="0"/>
        <v>143033715.27777779</v>
      </c>
      <c r="D15" s="3" t="s">
        <v>14</v>
      </c>
      <c r="E15" s="24"/>
      <c r="F15" s="21"/>
      <c r="G15" s="3"/>
      <c r="H15" s="15">
        <v>1901034.2261895509</v>
      </c>
      <c r="I15" s="17">
        <f t="shared" si="2"/>
        <v>528065062.83043081</v>
      </c>
    </row>
    <row r="16" spans="1:9">
      <c r="A16" s="18">
        <f t="shared" si="1"/>
        <v>13</v>
      </c>
      <c r="B16" s="15">
        <f>515157603/1000</f>
        <v>515157.603</v>
      </c>
      <c r="C16" s="16">
        <f t="shared" si="0"/>
        <v>143099334.16666666</v>
      </c>
      <c r="D16" s="3" t="s">
        <v>14</v>
      </c>
      <c r="E16" s="23"/>
      <c r="F16" s="16"/>
      <c r="G16" s="3"/>
      <c r="H16" s="15">
        <v>3368257.9212674811</v>
      </c>
      <c r="I16" s="17">
        <f t="shared" si="2"/>
        <v>935627200.35207808</v>
      </c>
    </row>
    <row r="17" spans="1:9">
      <c r="A17" s="18">
        <f t="shared" si="1"/>
        <v>14</v>
      </c>
      <c r="B17" s="15">
        <f>515819547/1000</f>
        <v>515819.54700000002</v>
      </c>
      <c r="C17" s="16">
        <f t="shared" si="0"/>
        <v>143283207.5</v>
      </c>
      <c r="D17" s="3" t="s">
        <v>14</v>
      </c>
      <c r="E17" s="24"/>
      <c r="F17" s="21"/>
      <c r="G17" s="3"/>
      <c r="H17" s="15">
        <v>2846521.6060806639</v>
      </c>
      <c r="I17" s="17">
        <f t="shared" si="2"/>
        <v>790700446.13351762</v>
      </c>
    </row>
    <row r="18" spans="1:9">
      <c r="A18" s="8">
        <f t="shared" si="1"/>
        <v>15</v>
      </c>
      <c r="B18" s="15">
        <f>515384019/1000</f>
        <v>515384.01899999997</v>
      </c>
      <c r="C18" s="16">
        <f t="shared" si="0"/>
        <v>143162227.49999997</v>
      </c>
      <c r="D18" s="3" t="s">
        <v>14</v>
      </c>
      <c r="E18" s="24"/>
      <c r="F18" s="21"/>
      <c r="G18" s="9"/>
      <c r="H18" s="15">
        <v>2325206.5234263674</v>
      </c>
      <c r="I18" s="17">
        <f t="shared" si="2"/>
        <v>645890700.95176864</v>
      </c>
    </row>
    <row r="19" spans="1:9">
      <c r="A19" s="14">
        <f t="shared" si="1"/>
        <v>16</v>
      </c>
      <c r="B19" s="15">
        <f>515478713/1000</f>
        <v>515478.71299999999</v>
      </c>
      <c r="C19" s="16">
        <f t="shared" si="0"/>
        <v>143188531.3888889</v>
      </c>
      <c r="D19" s="3" t="s">
        <v>14</v>
      </c>
      <c r="E19" s="23">
        <v>3471877.6809999999</v>
      </c>
      <c r="F19" s="16">
        <f>(E19/3.6)*1000</f>
        <v>964410466.9444443</v>
      </c>
      <c r="G19" s="9" t="s">
        <v>14</v>
      </c>
      <c r="H19" s="15">
        <v>1805210.4722991211</v>
      </c>
      <c r="I19" s="17">
        <f t="shared" si="2"/>
        <v>501447353.41642249</v>
      </c>
    </row>
    <row r="20" spans="1:9">
      <c r="A20" s="8">
        <f t="shared" si="1"/>
        <v>17</v>
      </c>
      <c r="B20" s="15">
        <f>516083343/1000</f>
        <v>516083.34299999999</v>
      </c>
      <c r="C20" s="16">
        <f t="shared" si="0"/>
        <v>143356484.16666666</v>
      </c>
      <c r="D20" s="3" t="s">
        <v>14</v>
      </c>
      <c r="E20" s="24"/>
      <c r="F20" s="21"/>
      <c r="G20" s="9"/>
      <c r="H20" s="15">
        <v>4770088.9000000004</v>
      </c>
      <c r="I20" s="17">
        <f t="shared" si="2"/>
        <v>1325024694.4444444</v>
      </c>
    </row>
    <row r="21" spans="1:9">
      <c r="A21" s="8">
        <f t="shared" si="1"/>
        <v>18</v>
      </c>
      <c r="B21" s="15">
        <f>515128830/1000</f>
        <v>515128.83</v>
      </c>
      <c r="C21" s="16">
        <f>(B21/3.6)*1000</f>
        <v>143091341.66666669</v>
      </c>
      <c r="D21" s="3" t="s">
        <v>14</v>
      </c>
      <c r="E21" s="24"/>
      <c r="F21" s="21"/>
      <c r="G21" s="9"/>
      <c r="H21" s="15">
        <v>4255819</v>
      </c>
      <c r="I21" s="17">
        <f t="shared" si="2"/>
        <v>1182171944.4444444</v>
      </c>
    </row>
    <row r="22" spans="1:9">
      <c r="A22" s="8">
        <f t="shared" si="1"/>
        <v>19</v>
      </c>
      <c r="B22" s="15">
        <f>514996588/1000</f>
        <v>514996.58799999999</v>
      </c>
      <c r="C22" s="16">
        <f>(B22/3.6)*1000</f>
        <v>143054607.77777776</v>
      </c>
      <c r="D22" s="3" t="s">
        <v>14</v>
      </c>
      <c r="E22" s="15"/>
      <c r="F22" s="16"/>
      <c r="G22" s="3"/>
      <c r="H22" s="15">
        <v>3731909.1</v>
      </c>
      <c r="I22" s="17">
        <f t="shared" si="2"/>
        <v>1036641416.6666666</v>
      </c>
    </row>
    <row r="23" spans="1:9">
      <c r="A23" s="18">
        <f t="shared" si="1"/>
        <v>20</v>
      </c>
      <c r="B23" s="15">
        <f>356817487/1000</f>
        <v>356817.48700000002</v>
      </c>
      <c r="C23" s="16">
        <f>(B23/3.6)*1000</f>
        <v>99115968.611111104</v>
      </c>
      <c r="D23" s="3" t="s">
        <v>14</v>
      </c>
      <c r="E23" s="15"/>
      <c r="F23" s="16"/>
      <c r="G23" s="3"/>
      <c r="H23" s="15">
        <v>3209372.9000000004</v>
      </c>
      <c r="I23" s="17">
        <f t="shared" si="2"/>
        <v>891492472.22222221</v>
      </c>
    </row>
    <row r="24" spans="1:9">
      <c r="A24" s="18">
        <f t="shared" si="1"/>
        <v>21</v>
      </c>
      <c r="B24" s="15">
        <f>356620670/1000</f>
        <v>356620.67</v>
      </c>
      <c r="C24" s="16">
        <f>(B24/3.6)*1000</f>
        <v>99061297.222222209</v>
      </c>
      <c r="D24" s="3" t="s">
        <v>14</v>
      </c>
      <c r="E24" s="27"/>
      <c r="F24" s="16"/>
      <c r="G24" s="3"/>
      <c r="H24" s="15">
        <v>2848469.1927202148</v>
      </c>
      <c r="I24" s="17">
        <f t="shared" si="2"/>
        <v>791241442.42228186</v>
      </c>
    </row>
    <row r="25" spans="1:9">
      <c r="A25" s="8">
        <f t="shared" si="1"/>
        <v>22</v>
      </c>
      <c r="B25" s="15">
        <f>674556369/1000</f>
        <v>674556.36899999995</v>
      </c>
      <c r="C25" s="16">
        <f>(B25/3.6)*1000</f>
        <v>187376769.16666663</v>
      </c>
      <c r="D25" s="3" t="s">
        <v>14</v>
      </c>
      <c r="E25" s="19"/>
      <c r="F25" s="16"/>
      <c r="G25" s="3"/>
      <c r="H25" s="15">
        <v>2487071.8000000003</v>
      </c>
      <c r="I25" s="17">
        <f t="shared" si="2"/>
        <v>690853277.77777791</v>
      </c>
    </row>
    <row r="26" spans="1:9">
      <c r="A26" s="14">
        <f t="shared" si="1"/>
        <v>23</v>
      </c>
      <c r="B26" s="15">
        <v>634999.42799999996</v>
      </c>
      <c r="C26" s="16">
        <f t="shared" ref="C26:C33" si="3">(B26/3.6)*1000</f>
        <v>176388729.99999997</v>
      </c>
      <c r="D26" s="3" t="s">
        <v>14</v>
      </c>
      <c r="E26" s="15"/>
      <c r="F26" s="16"/>
      <c r="G26" s="3"/>
      <c r="H26" s="15">
        <v>1799884.5</v>
      </c>
      <c r="I26" s="17">
        <f t="shared" si="2"/>
        <v>499967916.66666663</v>
      </c>
    </row>
    <row r="27" spans="1:9">
      <c r="A27" s="8">
        <f t="shared" si="1"/>
        <v>24</v>
      </c>
      <c r="B27" s="15">
        <v>634906.88300000003</v>
      </c>
      <c r="C27" s="16">
        <f t="shared" si="3"/>
        <v>176363023.05555555</v>
      </c>
      <c r="D27" s="3" t="s">
        <v>14</v>
      </c>
      <c r="E27" s="15"/>
      <c r="F27" s="16"/>
      <c r="G27" s="3"/>
      <c r="H27" s="15">
        <v>1155643.2</v>
      </c>
      <c r="I27" s="17">
        <f t="shared" si="2"/>
        <v>321012000</v>
      </c>
    </row>
    <row r="28" spans="1:9">
      <c r="A28" s="8">
        <f t="shared" si="1"/>
        <v>25</v>
      </c>
      <c r="B28" s="15">
        <f>753325861/1000</f>
        <v>753325.86100000003</v>
      </c>
      <c r="C28" s="16">
        <f t="shared" si="3"/>
        <v>209257183.6111111</v>
      </c>
      <c r="D28" s="3" t="s">
        <v>14</v>
      </c>
      <c r="E28" s="15">
        <v>3464959.2779999999</v>
      </c>
      <c r="F28" s="16">
        <f>(E28/3.6)*1000</f>
        <v>962488688.33333325</v>
      </c>
      <c r="G28" s="3" t="s">
        <v>14</v>
      </c>
      <c r="H28" s="15">
        <v>514414.50000000006</v>
      </c>
      <c r="I28" s="17">
        <f t="shared" si="2"/>
        <v>142892916.66666669</v>
      </c>
    </row>
    <row r="29" spans="1:9">
      <c r="A29" s="8">
        <f t="shared" si="1"/>
        <v>26</v>
      </c>
      <c r="B29" s="15">
        <f>811861078/1000</f>
        <v>811861.07799999998</v>
      </c>
      <c r="C29" s="16">
        <f t="shared" si="3"/>
        <v>225516966.1111111</v>
      </c>
      <c r="D29" s="3" t="s">
        <v>14</v>
      </c>
      <c r="E29" s="27"/>
      <c r="F29" s="16"/>
      <c r="G29" s="3"/>
      <c r="H29" s="15">
        <v>3240943.9000000004</v>
      </c>
      <c r="I29" s="17">
        <f t="shared" si="2"/>
        <v>900262194.44444454</v>
      </c>
    </row>
    <row r="30" spans="1:9">
      <c r="A30" s="18">
        <f t="shared" si="1"/>
        <v>27</v>
      </c>
      <c r="B30" s="15">
        <f>356306482/1000</f>
        <v>356306.48200000002</v>
      </c>
      <c r="C30" s="16">
        <f t="shared" si="3"/>
        <v>98974022.777777776</v>
      </c>
      <c r="D30" s="3" t="s">
        <v>14</v>
      </c>
      <c r="E30" s="15"/>
      <c r="F30" s="16"/>
      <c r="G30" s="3"/>
      <c r="H30" s="15">
        <v>2417604.484275098</v>
      </c>
      <c r="I30" s="17">
        <f t="shared" si="2"/>
        <v>671556801.1875273</v>
      </c>
    </row>
    <row r="31" spans="1:9">
      <c r="A31" s="18">
        <f t="shared" si="1"/>
        <v>28</v>
      </c>
      <c r="B31" s="15">
        <f>415676259/1000</f>
        <v>415676.25900000002</v>
      </c>
      <c r="C31" s="16">
        <f t="shared" si="3"/>
        <v>115465627.5</v>
      </c>
      <c r="D31" s="3" t="s">
        <v>14</v>
      </c>
      <c r="E31" s="15"/>
      <c r="F31" s="16"/>
      <c r="G31" s="3"/>
      <c r="H31" s="15">
        <v>2063599.2027466798</v>
      </c>
      <c r="I31" s="17">
        <f t="shared" si="2"/>
        <v>573222000.76296663</v>
      </c>
    </row>
    <row r="32" spans="1:9">
      <c r="A32" s="8">
        <f t="shared" si="1"/>
        <v>29</v>
      </c>
      <c r="B32" s="15">
        <f>832296935/1000</f>
        <v>832296.93500000006</v>
      </c>
      <c r="C32" s="16">
        <f t="shared" si="3"/>
        <v>231193593.05555558</v>
      </c>
      <c r="D32" s="3" t="s">
        <v>14</v>
      </c>
      <c r="E32" s="15">
        <v>3151163.67</v>
      </c>
      <c r="F32" s="16">
        <f>(E32/3.6)*1000</f>
        <v>875323241.66666663</v>
      </c>
      <c r="G32" s="3" t="s">
        <v>14</v>
      </c>
      <c r="H32" s="15">
        <v>1637206.0027943361</v>
      </c>
      <c r="I32" s="17">
        <f t="shared" si="2"/>
        <v>454779445.22064888</v>
      </c>
    </row>
    <row r="33" spans="1:10">
      <c r="A33" s="14">
        <f t="shared" si="1"/>
        <v>30</v>
      </c>
      <c r="B33" s="15">
        <f>832850926/1000</f>
        <v>832850.92599999998</v>
      </c>
      <c r="C33" s="16">
        <f t="shared" si="3"/>
        <v>231347479.44444445</v>
      </c>
      <c r="D33" s="3" t="s">
        <v>14</v>
      </c>
      <c r="E33" s="15"/>
      <c r="F33" s="16"/>
      <c r="G33" s="3"/>
      <c r="H33" s="15">
        <v>3374566.1090000002</v>
      </c>
      <c r="I33" s="17">
        <f t="shared" si="2"/>
        <v>937379474.72222221</v>
      </c>
    </row>
    <row r="34" spans="1:10">
      <c r="A34" s="51"/>
      <c r="B34" s="25"/>
      <c r="C34" s="25"/>
      <c r="D34" s="26"/>
      <c r="E34" s="25"/>
      <c r="F34" s="25"/>
      <c r="G34" s="26"/>
      <c r="H34" s="25"/>
      <c r="I34" s="25"/>
    </row>
    <row r="35" spans="1:10" ht="27" customHeight="1">
      <c r="A35" s="7" t="s">
        <v>3</v>
      </c>
      <c r="B35" s="163" t="s">
        <v>17</v>
      </c>
      <c r="C35" s="163"/>
      <c r="D35" s="163"/>
      <c r="E35" s="164"/>
      <c r="F35" s="164"/>
      <c r="G35" s="164"/>
      <c r="H35" s="164"/>
      <c r="I35" s="60"/>
      <c r="J35" s="60"/>
    </row>
    <row r="36" spans="1:10" ht="27" customHeight="1">
      <c r="A36" s="7" t="s">
        <v>4</v>
      </c>
      <c r="B36" s="165" t="s">
        <v>13</v>
      </c>
      <c r="C36" s="165"/>
      <c r="D36" s="165"/>
      <c r="E36" s="165"/>
      <c r="F36" s="165"/>
      <c r="G36" s="165"/>
      <c r="H36" s="165"/>
      <c r="I36" s="57"/>
      <c r="J36" s="60"/>
    </row>
    <row r="37" spans="1:10" ht="27" customHeight="1">
      <c r="A37" s="7" t="s">
        <v>5</v>
      </c>
      <c r="B37" s="165" t="s">
        <v>18</v>
      </c>
      <c r="C37" s="165"/>
      <c r="D37" s="165"/>
      <c r="E37" s="166"/>
      <c r="F37" s="166"/>
      <c r="G37" s="166"/>
      <c r="H37" s="166"/>
      <c r="I37" s="58"/>
      <c r="J37" s="58"/>
    </row>
    <row r="38" spans="1:10" ht="27" customHeight="1">
      <c r="A38" s="7" t="s">
        <v>6</v>
      </c>
      <c r="B38" s="165" t="s">
        <v>0</v>
      </c>
      <c r="C38" s="165"/>
      <c r="D38" s="165"/>
      <c r="E38" s="165"/>
      <c r="F38" s="165"/>
      <c r="G38" s="165"/>
      <c r="H38" s="165"/>
      <c r="I38" s="57"/>
      <c r="J38" s="58"/>
    </row>
    <row r="39" spans="1:10" ht="27" customHeight="1">
      <c r="A39" s="7" t="s">
        <v>7</v>
      </c>
      <c r="B39" s="165" t="s">
        <v>16</v>
      </c>
      <c r="C39" s="165"/>
      <c r="D39" s="165"/>
      <c r="E39" s="166"/>
      <c r="F39" s="166"/>
      <c r="G39" s="166"/>
      <c r="H39" s="166"/>
      <c r="I39" s="58"/>
      <c r="J39" s="4"/>
    </row>
    <row r="40" spans="1:10" ht="27" customHeight="1">
      <c r="A40" s="28" t="s">
        <v>19</v>
      </c>
      <c r="B40" s="149" t="s">
        <v>20</v>
      </c>
      <c r="C40" s="150"/>
      <c r="D40" s="150"/>
      <c r="E40" s="150"/>
      <c r="F40" s="150"/>
      <c r="G40" s="150"/>
      <c r="H40" s="150"/>
      <c r="I40" s="59"/>
      <c r="J40" s="6"/>
    </row>
    <row r="41" spans="1:10" ht="27" customHeight="1">
      <c r="A41" s="1"/>
      <c r="B41" s="1"/>
      <c r="C41" s="1"/>
      <c r="D41" s="1"/>
      <c r="E41" s="1"/>
      <c r="F41" s="1"/>
      <c r="G41" s="1"/>
      <c r="H41" s="1"/>
      <c r="I41" s="1"/>
    </row>
    <row r="42" spans="1:10" ht="27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10" ht="27" customHeight="1">
      <c r="A43" s="1"/>
      <c r="B43" s="1"/>
      <c r="C43" s="1"/>
      <c r="D43" s="1"/>
      <c r="E43" s="1"/>
      <c r="F43" s="1"/>
      <c r="G43" s="1"/>
      <c r="H43" s="1"/>
      <c r="I43" s="1"/>
    </row>
  </sheetData>
  <mergeCells count="13">
    <mergeCell ref="B40:H40"/>
    <mergeCell ref="A1:I1"/>
    <mergeCell ref="A2:A3"/>
    <mergeCell ref="B2:C2"/>
    <mergeCell ref="D2:D3"/>
    <mergeCell ref="E2:F2"/>
    <mergeCell ref="G2:G3"/>
    <mergeCell ref="H2:I2"/>
    <mergeCell ref="B35:H35"/>
    <mergeCell ref="B36:H36"/>
    <mergeCell ref="B37:H37"/>
    <mergeCell ref="B38:H38"/>
    <mergeCell ref="B39:H39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7" workbookViewId="0">
      <selection activeCell="G35" sqref="G35"/>
    </sheetView>
  </sheetViews>
  <sheetFormatPr defaultRowHeight="12.75"/>
  <cols>
    <col min="1" max="1" width="10.140625" customWidth="1"/>
    <col min="2" max="2" width="16.85546875" customWidth="1"/>
    <col min="3" max="3" width="16.5703125" customWidth="1"/>
    <col min="4" max="4" width="19.85546875" customWidth="1"/>
    <col min="5" max="6" width="17.140625" customWidth="1"/>
    <col min="7" max="7" width="19.85546875" customWidth="1"/>
    <col min="8" max="8" width="16.85546875" customWidth="1"/>
    <col min="9" max="9" width="17.140625" customWidth="1"/>
  </cols>
  <sheetData>
    <row r="1" spans="1:9" ht="55.15" customHeight="1" thickBot="1">
      <c r="A1" s="151" t="s">
        <v>27</v>
      </c>
      <c r="B1" s="151"/>
      <c r="C1" s="151"/>
      <c r="D1" s="151"/>
      <c r="E1" s="151"/>
      <c r="F1" s="151"/>
      <c r="G1" s="151"/>
      <c r="H1" s="151"/>
      <c r="I1" s="151"/>
    </row>
    <row r="2" spans="1:9">
      <c r="A2" s="152" t="s">
        <v>11</v>
      </c>
      <c r="B2" s="153" t="s">
        <v>2</v>
      </c>
      <c r="C2" s="154"/>
      <c r="D2" s="155" t="s">
        <v>12</v>
      </c>
      <c r="E2" s="157" t="s">
        <v>8</v>
      </c>
      <c r="F2" s="158"/>
      <c r="G2" s="159" t="s">
        <v>9</v>
      </c>
      <c r="H2" s="161" t="s">
        <v>10</v>
      </c>
      <c r="I2" s="162"/>
    </row>
    <row r="3" spans="1:9">
      <c r="A3" s="152"/>
      <c r="B3" s="5" t="s">
        <v>1</v>
      </c>
      <c r="C3" s="10" t="s">
        <v>15</v>
      </c>
      <c r="D3" s="156"/>
      <c r="E3" s="2" t="s">
        <v>1</v>
      </c>
      <c r="F3" s="11" t="s">
        <v>15</v>
      </c>
      <c r="G3" s="160"/>
      <c r="H3" s="12" t="s">
        <v>1</v>
      </c>
      <c r="I3" s="13" t="s">
        <v>15</v>
      </c>
    </row>
    <row r="4" spans="1:9">
      <c r="A4" s="8">
        <v>1</v>
      </c>
      <c r="B4" s="15">
        <f>495626375/1000</f>
        <v>495626.375</v>
      </c>
      <c r="C4" s="16">
        <f>(B4/3.6)*1000</f>
        <v>137673993.05555555</v>
      </c>
      <c r="D4" s="3" t="s">
        <v>14</v>
      </c>
      <c r="E4" s="15"/>
      <c r="F4" s="16"/>
      <c r="G4" s="3"/>
      <c r="H4" s="15">
        <v>3116533.2164410157</v>
      </c>
      <c r="I4" s="17">
        <f>(H4/3.6)*1000</f>
        <v>865703671.23361552</v>
      </c>
    </row>
    <row r="5" spans="1:9">
      <c r="A5" s="14">
        <f>A4+1</f>
        <v>2</v>
      </c>
      <c r="B5" s="15">
        <v>395767.00699999998</v>
      </c>
      <c r="C5" s="16">
        <f t="shared" ref="C5:C17" si="0">(B5/3.6)*1000</f>
        <v>109935279.72222221</v>
      </c>
      <c r="D5" s="3" t="s">
        <v>14</v>
      </c>
      <c r="E5" s="15"/>
      <c r="F5" s="16"/>
      <c r="G5" s="3"/>
      <c r="H5" s="15">
        <v>2621429.3000000003</v>
      </c>
      <c r="I5" s="17">
        <f>(H5/3.6)*1000</f>
        <v>728174805.55555558</v>
      </c>
    </row>
    <row r="6" spans="1:9">
      <c r="A6" s="8">
        <f>A5+1</f>
        <v>3</v>
      </c>
      <c r="B6" s="15">
        <f>514891504/1000</f>
        <v>514891.50400000002</v>
      </c>
      <c r="C6" s="16">
        <f t="shared" si="0"/>
        <v>143025417.77777776</v>
      </c>
      <c r="D6" s="3" t="s">
        <v>14</v>
      </c>
      <c r="E6" s="15"/>
      <c r="F6" s="16"/>
      <c r="G6" s="3"/>
      <c r="H6" s="15">
        <v>2220091.1008864259</v>
      </c>
      <c r="I6" s="17">
        <f t="shared" ref="I6:I21" si="1">(H6/3.6)*1000</f>
        <v>616691972.46845162</v>
      </c>
    </row>
    <row r="7" spans="1:9">
      <c r="A7" s="18">
        <f t="shared" ref="A7:A34" si="2">A6+1</f>
        <v>4</v>
      </c>
      <c r="B7" s="15">
        <f>336619056/1000</f>
        <v>336619.05599999998</v>
      </c>
      <c r="C7" s="16">
        <f t="shared" si="0"/>
        <v>93505293.333333313</v>
      </c>
      <c r="D7" s="3" t="s">
        <v>14</v>
      </c>
      <c r="E7" s="15"/>
      <c r="F7" s="16"/>
      <c r="G7" s="3"/>
      <c r="H7" s="15">
        <v>1695761.7563197266</v>
      </c>
      <c r="I7" s="17">
        <f t="shared" si="1"/>
        <v>471044932.31103516</v>
      </c>
    </row>
    <row r="8" spans="1:9">
      <c r="A8" s="18">
        <f t="shared" si="2"/>
        <v>5</v>
      </c>
      <c r="B8" s="15">
        <f>336734929/1000</f>
        <v>336734.929</v>
      </c>
      <c r="C8" s="16">
        <f t="shared" si="0"/>
        <v>93537480.277777776</v>
      </c>
      <c r="D8" s="3" t="s">
        <v>14</v>
      </c>
      <c r="E8" s="33"/>
      <c r="F8" s="16"/>
      <c r="G8" s="3"/>
      <c r="H8" s="15">
        <v>1356074.1889326174</v>
      </c>
      <c r="I8" s="17">
        <f t="shared" si="1"/>
        <v>376687274.7035048</v>
      </c>
    </row>
    <row r="9" spans="1:9">
      <c r="A9" s="8">
        <f t="shared" si="2"/>
        <v>6</v>
      </c>
      <c r="B9" s="15">
        <f>714017623/1000</f>
        <v>714017.62300000002</v>
      </c>
      <c r="C9" s="16">
        <f t="shared" si="0"/>
        <v>198338228.6111111</v>
      </c>
      <c r="D9" s="3" t="s">
        <v>14</v>
      </c>
      <c r="E9" s="16">
        <v>3327312.571</v>
      </c>
      <c r="F9" s="16">
        <f>(E9/3.6)*1000</f>
        <v>924253491.94444442</v>
      </c>
      <c r="G9" s="3" t="s">
        <v>14</v>
      </c>
      <c r="H9" s="15">
        <v>1009139.3</v>
      </c>
      <c r="I9" s="17">
        <f t="shared" si="1"/>
        <v>280316472.22222227</v>
      </c>
    </row>
    <row r="10" spans="1:9">
      <c r="A10" s="8">
        <f t="shared" si="2"/>
        <v>7</v>
      </c>
      <c r="B10" s="15">
        <f>693883126/1000</f>
        <v>693883.12600000005</v>
      </c>
      <c r="C10" s="16">
        <f t="shared" si="0"/>
        <v>192745312.77777779</v>
      </c>
      <c r="D10" s="3" t="s">
        <v>14</v>
      </c>
      <c r="E10" s="56"/>
      <c r="F10" s="16"/>
      <c r="G10" s="3"/>
      <c r="H10" s="15">
        <v>3633837.4276000001</v>
      </c>
      <c r="I10" s="17">
        <f t="shared" si="1"/>
        <v>1009399285.4444444</v>
      </c>
    </row>
    <row r="11" spans="1:9">
      <c r="A11" s="8">
        <f t="shared" si="2"/>
        <v>8</v>
      </c>
      <c r="B11" s="15">
        <f>713829620/1000</f>
        <v>713829.62</v>
      </c>
      <c r="C11" s="16">
        <f t="shared" si="0"/>
        <v>198286005.55555555</v>
      </c>
      <c r="D11" s="3" t="s">
        <v>14</v>
      </c>
      <c r="E11" s="24"/>
      <c r="F11" s="16"/>
      <c r="G11" s="3"/>
      <c r="H11" s="15">
        <v>2933521.2750028325</v>
      </c>
      <c r="I11" s="17">
        <f t="shared" si="1"/>
        <v>814867020.83412015</v>
      </c>
    </row>
    <row r="12" spans="1:9">
      <c r="A12" s="14">
        <f t="shared" si="2"/>
        <v>9</v>
      </c>
      <c r="B12" s="15">
        <f>713211592/1000</f>
        <v>713211.59199999995</v>
      </c>
      <c r="C12" s="16">
        <f t="shared" si="0"/>
        <v>198114331.1111111</v>
      </c>
      <c r="D12" s="3" t="s">
        <v>14</v>
      </c>
      <c r="E12" s="15">
        <v>3295290.85</v>
      </c>
      <c r="F12" s="16">
        <f>(E12/3.6)*1000</f>
        <v>915358569.44444454</v>
      </c>
      <c r="G12" s="3" t="s">
        <v>14</v>
      </c>
      <c r="H12" s="15">
        <v>2209656.7000000002</v>
      </c>
      <c r="I12" s="17">
        <f t="shared" si="1"/>
        <v>613793527.77777791</v>
      </c>
    </row>
    <row r="13" spans="1:9">
      <c r="A13" s="8">
        <f t="shared" si="2"/>
        <v>10</v>
      </c>
      <c r="B13" s="15">
        <f>673700469/1000</f>
        <v>673700.46900000004</v>
      </c>
      <c r="C13" s="16">
        <f t="shared" si="0"/>
        <v>187139019.16666666</v>
      </c>
      <c r="D13" s="3" t="s">
        <v>14</v>
      </c>
      <c r="E13" s="15"/>
      <c r="F13" s="16"/>
      <c r="G13" s="3"/>
      <c r="H13" s="15">
        <v>2419350.8000000003</v>
      </c>
      <c r="I13" s="17">
        <f t="shared" si="1"/>
        <v>672041888.88888896</v>
      </c>
    </row>
    <row r="14" spans="1:9">
      <c r="A14" s="18">
        <f t="shared" si="2"/>
        <v>11</v>
      </c>
      <c r="B14" s="15">
        <f>387660283/1000</f>
        <v>387660.283</v>
      </c>
      <c r="C14" s="16">
        <f t="shared" si="0"/>
        <v>107683411.94444443</v>
      </c>
      <c r="D14" s="3" t="s">
        <v>14</v>
      </c>
      <c r="E14" s="15"/>
      <c r="F14" s="16"/>
      <c r="G14" s="3"/>
      <c r="H14" s="15">
        <v>4127282.654433399</v>
      </c>
      <c r="I14" s="17">
        <f t="shared" si="1"/>
        <v>1146467404.0092776</v>
      </c>
    </row>
    <row r="15" spans="1:9">
      <c r="A15" s="18">
        <f t="shared" si="2"/>
        <v>12</v>
      </c>
      <c r="B15" s="15">
        <f>356226165/1000</f>
        <v>356226.16499999998</v>
      </c>
      <c r="C15" s="16">
        <f t="shared" si="0"/>
        <v>98951712.5</v>
      </c>
      <c r="D15" s="3" t="s">
        <v>14</v>
      </c>
      <c r="E15" s="24"/>
      <c r="F15" s="16"/>
      <c r="G15" s="3"/>
      <c r="H15" s="15">
        <v>3741948.9069500002</v>
      </c>
      <c r="I15" s="17">
        <f t="shared" si="1"/>
        <v>1039430251.9305556</v>
      </c>
    </row>
    <row r="16" spans="1:9">
      <c r="A16" s="8">
        <f t="shared" si="2"/>
        <v>13</v>
      </c>
      <c r="B16" s="15">
        <f>522626998/1000</f>
        <v>522626.99800000002</v>
      </c>
      <c r="C16" s="16">
        <f t="shared" si="0"/>
        <v>145174166.1111111</v>
      </c>
      <c r="D16" s="3" t="s">
        <v>14</v>
      </c>
      <c r="E16" s="23"/>
      <c r="F16" s="16"/>
      <c r="G16" s="3"/>
      <c r="H16" s="15">
        <v>3378390.7375075193</v>
      </c>
      <c r="I16" s="17">
        <f t="shared" si="1"/>
        <v>938441871.52986646</v>
      </c>
    </row>
    <row r="17" spans="1:9">
      <c r="A17" s="8">
        <f t="shared" si="2"/>
        <v>14</v>
      </c>
      <c r="B17" s="15">
        <f>753237124/1000</f>
        <v>753237.12399999995</v>
      </c>
      <c r="C17" s="16">
        <f t="shared" si="0"/>
        <v>209232534.44444445</v>
      </c>
      <c r="D17" s="3" t="s">
        <v>14</v>
      </c>
      <c r="E17" s="24"/>
      <c r="F17" s="16"/>
      <c r="G17" s="3"/>
      <c r="H17" s="15">
        <v>2846330.5</v>
      </c>
      <c r="I17" s="17">
        <f t="shared" si="1"/>
        <v>790647361.11111116</v>
      </c>
    </row>
    <row r="18" spans="1:9">
      <c r="A18" s="8">
        <f t="shared" si="2"/>
        <v>15</v>
      </c>
      <c r="B18" s="15">
        <f>753074482/1000</f>
        <v>753074.48199999996</v>
      </c>
      <c r="C18" s="16">
        <f>(B18/3.6)*1000</f>
        <v>209187356.1111111</v>
      </c>
      <c r="D18" s="3" t="s">
        <v>14</v>
      </c>
      <c r="E18" s="24"/>
      <c r="F18" s="16"/>
      <c r="G18" s="9"/>
      <c r="H18" s="15">
        <v>2079468.5000000002</v>
      </c>
      <c r="I18" s="17">
        <f t="shared" si="1"/>
        <v>577630138.88888896</v>
      </c>
    </row>
    <row r="19" spans="1:9">
      <c r="A19" s="14">
        <f t="shared" si="2"/>
        <v>16</v>
      </c>
      <c r="B19" s="15">
        <f>674002961/1000</f>
        <v>674002.96100000001</v>
      </c>
      <c r="C19" s="16">
        <f>(B19/3.6)*1000</f>
        <v>187223044.72222224</v>
      </c>
      <c r="D19" s="3" t="s">
        <v>14</v>
      </c>
      <c r="E19" s="23"/>
      <c r="F19" s="16"/>
      <c r="G19" s="9"/>
      <c r="H19" s="15">
        <v>1318583.3</v>
      </c>
      <c r="I19" s="17">
        <f t="shared" si="1"/>
        <v>366273138.8888889</v>
      </c>
    </row>
    <row r="20" spans="1:9">
      <c r="A20" s="8">
        <f t="shared" si="2"/>
        <v>17</v>
      </c>
      <c r="B20" s="15">
        <f>634246676/1000</f>
        <v>634246.67599999998</v>
      </c>
      <c r="C20" s="16">
        <f t="shared" ref="C20:C34" si="3">(B20/3.6)*1000</f>
        <v>176179632.22222221</v>
      </c>
      <c r="D20" s="3" t="s">
        <v>14</v>
      </c>
      <c r="E20" s="23">
        <v>3326067.0529999998</v>
      </c>
      <c r="F20" s="16">
        <f>(E20/3.6)*1000</f>
        <v>923907514.72222209</v>
      </c>
      <c r="G20" s="3" t="s">
        <v>14</v>
      </c>
      <c r="H20" s="15">
        <v>637499.93558520521</v>
      </c>
      <c r="I20" s="17">
        <f t="shared" si="1"/>
        <v>177083315.4403348</v>
      </c>
    </row>
    <row r="21" spans="1:9">
      <c r="A21" s="18">
        <f t="shared" si="2"/>
        <v>18</v>
      </c>
      <c r="B21" s="15">
        <f>237098320/1000</f>
        <v>237098.32</v>
      </c>
      <c r="C21" s="16">
        <f t="shared" si="3"/>
        <v>65860644.444444448</v>
      </c>
      <c r="D21" s="3" t="s">
        <v>14</v>
      </c>
      <c r="E21" s="24"/>
      <c r="F21" s="21"/>
      <c r="G21" s="9"/>
      <c r="H21" s="15">
        <v>2228020.2613499998</v>
      </c>
      <c r="I21" s="17">
        <f t="shared" si="1"/>
        <v>618894517.04166651</v>
      </c>
    </row>
    <row r="22" spans="1:9">
      <c r="A22" s="18">
        <f t="shared" si="2"/>
        <v>19</v>
      </c>
      <c r="B22" s="15">
        <f>237012021/1000</f>
        <v>237012.02100000001</v>
      </c>
      <c r="C22" s="16">
        <f t="shared" si="3"/>
        <v>65836672.5</v>
      </c>
      <c r="D22" s="3" t="s">
        <v>14</v>
      </c>
      <c r="E22" s="15"/>
      <c r="F22" s="16"/>
      <c r="G22" s="3"/>
      <c r="H22" s="15">
        <v>3093816.4825170897</v>
      </c>
      <c r="I22" s="17">
        <f>(H22/3.6)*1000</f>
        <v>859393467.36585832</v>
      </c>
    </row>
    <row r="23" spans="1:9">
      <c r="A23" s="8">
        <f t="shared" si="2"/>
        <v>20</v>
      </c>
      <c r="B23" s="15">
        <f>850755800/1000</f>
        <v>850755.8</v>
      </c>
      <c r="C23" s="16">
        <f t="shared" si="3"/>
        <v>236321055.55555555</v>
      </c>
      <c r="D23" s="3" t="s">
        <v>14</v>
      </c>
      <c r="E23" s="15"/>
      <c r="F23" s="16"/>
      <c r="G23" s="3"/>
      <c r="H23" s="15">
        <v>2853493.3218854493</v>
      </c>
      <c r="I23" s="17">
        <f>(H23/3.6)*1000</f>
        <v>792637033.85706925</v>
      </c>
    </row>
    <row r="24" spans="1:9">
      <c r="A24" s="8">
        <f t="shared" si="2"/>
        <v>21</v>
      </c>
      <c r="B24" s="15">
        <f>851486210/1000</f>
        <v>851486.21</v>
      </c>
      <c r="C24" s="16">
        <f t="shared" si="3"/>
        <v>236523947.22222221</v>
      </c>
      <c r="D24" s="3" t="s">
        <v>14</v>
      </c>
      <c r="E24" s="15">
        <v>3472773.2689999999</v>
      </c>
      <c r="F24" s="16">
        <f>(E24/3.6)*1000</f>
        <v>964659241.38888884</v>
      </c>
      <c r="G24" s="3" t="s">
        <v>14</v>
      </c>
      <c r="H24" s="15">
        <v>1992106.0000000002</v>
      </c>
      <c r="I24" s="17">
        <f>(H24/3.6)*1000</f>
        <v>553362777.77777791</v>
      </c>
    </row>
    <row r="25" spans="1:9">
      <c r="A25" s="8">
        <f t="shared" si="2"/>
        <v>22</v>
      </c>
      <c r="B25" s="15">
        <f>753330180/1000</f>
        <v>753330.18</v>
      </c>
      <c r="C25" s="16">
        <f t="shared" si="3"/>
        <v>209258383.33333334</v>
      </c>
      <c r="D25" s="3" t="s">
        <v>14</v>
      </c>
      <c r="E25" s="19"/>
      <c r="F25" s="16"/>
      <c r="G25" s="3"/>
      <c r="H25" s="15">
        <v>2493169.1</v>
      </c>
      <c r="I25" s="17">
        <f>(H25/3.6)*1000</f>
        <v>692546972.22222221</v>
      </c>
    </row>
    <row r="26" spans="1:9">
      <c r="A26" s="14">
        <f t="shared" si="2"/>
        <v>23</v>
      </c>
      <c r="B26" s="15">
        <f>634601528/1000</f>
        <v>634601.52800000005</v>
      </c>
      <c r="C26" s="16">
        <f t="shared" si="3"/>
        <v>176278202.22222224</v>
      </c>
      <c r="D26" s="3" t="s">
        <v>14</v>
      </c>
      <c r="E26" s="15"/>
      <c r="F26" s="16"/>
      <c r="G26" s="3"/>
      <c r="H26" s="15">
        <v>3860458.5</v>
      </c>
      <c r="I26" s="17">
        <f>(H26/3.6)*1000</f>
        <v>1072349583.3333333</v>
      </c>
    </row>
    <row r="27" spans="1:9">
      <c r="A27" s="8">
        <f t="shared" si="2"/>
        <v>24</v>
      </c>
      <c r="B27" s="15">
        <f>635025799/1000</f>
        <v>635025.799</v>
      </c>
      <c r="C27" s="16">
        <f t="shared" si="3"/>
        <v>176396055.27777779</v>
      </c>
      <c r="D27" s="3" t="s">
        <v>14</v>
      </c>
      <c r="E27" s="15"/>
      <c r="F27" s="16"/>
      <c r="G27" s="3"/>
      <c r="H27" s="15">
        <v>3215446.1</v>
      </c>
      <c r="I27" s="17">
        <f t="shared" ref="I27:I34" si="4">(H27/3.6)*1000</f>
        <v>893179472.22222221</v>
      </c>
    </row>
    <row r="28" spans="1:9">
      <c r="A28" s="18">
        <f t="shared" si="2"/>
        <v>25</v>
      </c>
      <c r="B28" s="15">
        <f>237806247/1000</f>
        <v>237806.247</v>
      </c>
      <c r="C28" s="16">
        <f t="shared" si="3"/>
        <v>66057290.833333336</v>
      </c>
      <c r="D28" s="3" t="s">
        <v>14</v>
      </c>
      <c r="E28" s="15"/>
      <c r="F28" s="16"/>
      <c r="G28" s="3"/>
      <c r="H28" s="15">
        <v>2573904.6299881837</v>
      </c>
      <c r="I28" s="17">
        <f t="shared" si="4"/>
        <v>714973508.33005095</v>
      </c>
    </row>
    <row r="29" spans="1:9">
      <c r="A29" s="18">
        <f t="shared" si="2"/>
        <v>26</v>
      </c>
      <c r="B29" s="15">
        <f>237753607/1000</f>
        <v>237753.60699999999</v>
      </c>
      <c r="C29" s="16">
        <f t="shared" si="3"/>
        <v>66042668.611111104</v>
      </c>
      <c r="D29" s="3" t="s">
        <v>14</v>
      </c>
      <c r="E29" s="27"/>
      <c r="F29" s="16"/>
      <c r="G29" s="3"/>
      <c r="H29" s="15">
        <v>2337365.8550062501</v>
      </c>
      <c r="I29" s="17">
        <f t="shared" si="4"/>
        <v>649268293.05729163</v>
      </c>
    </row>
    <row r="30" spans="1:9">
      <c r="A30" s="8">
        <f t="shared" si="2"/>
        <v>27</v>
      </c>
      <c r="B30" s="15">
        <f>555567253/1000</f>
        <v>555567.25300000003</v>
      </c>
      <c r="C30" s="16">
        <f t="shared" si="3"/>
        <v>154324236.94444445</v>
      </c>
      <c r="D30" s="3" t="s">
        <v>14</v>
      </c>
      <c r="E30" s="15"/>
      <c r="F30" s="16"/>
      <c r="G30" s="3"/>
      <c r="H30" s="15">
        <v>2093542.9000000001</v>
      </c>
      <c r="I30" s="17">
        <f t="shared" si="4"/>
        <v>581539694.44444454</v>
      </c>
    </row>
    <row r="31" spans="1:9">
      <c r="A31" s="8">
        <f t="shared" si="2"/>
        <v>28</v>
      </c>
      <c r="B31" s="15">
        <f>675856141/1000</f>
        <v>675856.14099999995</v>
      </c>
      <c r="C31" s="16">
        <f t="shared" si="3"/>
        <v>187737816.94444445</v>
      </c>
      <c r="D31" s="3" t="s">
        <v>14</v>
      </c>
      <c r="E31" s="15"/>
      <c r="F31" s="16"/>
      <c r="G31" s="3"/>
      <c r="H31" s="15">
        <v>1527530.3</v>
      </c>
      <c r="I31" s="17">
        <f t="shared" si="4"/>
        <v>424313972.22222227</v>
      </c>
    </row>
    <row r="32" spans="1:9">
      <c r="A32" s="8">
        <f t="shared" si="2"/>
        <v>29</v>
      </c>
      <c r="B32" s="15">
        <f>357619862/1000</f>
        <v>357619.86200000002</v>
      </c>
      <c r="C32" s="16">
        <f t="shared" si="3"/>
        <v>99338850.555555567</v>
      </c>
      <c r="D32" s="3" t="s">
        <v>14</v>
      </c>
      <c r="E32" s="15"/>
      <c r="F32" s="16"/>
      <c r="G32" s="3"/>
      <c r="H32" s="15">
        <v>842809.59416738281</v>
      </c>
      <c r="I32" s="17">
        <f t="shared" si="4"/>
        <v>234113776.15760633</v>
      </c>
    </row>
    <row r="33" spans="1:10">
      <c r="A33" s="14">
        <f t="shared" si="2"/>
        <v>30</v>
      </c>
      <c r="B33" s="15">
        <f>238028069/1000</f>
        <v>238028.06899999999</v>
      </c>
      <c r="C33" s="16">
        <f t="shared" si="3"/>
        <v>66118908.055555552</v>
      </c>
      <c r="D33" s="3" t="s">
        <v>14</v>
      </c>
      <c r="E33" s="15"/>
      <c r="F33" s="16"/>
      <c r="G33" s="3"/>
      <c r="H33" s="15">
        <v>483779.34508085932</v>
      </c>
      <c r="I33" s="17">
        <f t="shared" si="4"/>
        <v>134383151.4113498</v>
      </c>
    </row>
    <row r="34" spans="1:10">
      <c r="A34" s="14">
        <f t="shared" si="2"/>
        <v>31</v>
      </c>
      <c r="B34" s="15">
        <f>317836815/1000</f>
        <v>317836.815</v>
      </c>
      <c r="C34" s="16">
        <f t="shared" si="3"/>
        <v>88288004.166666672</v>
      </c>
      <c r="D34" s="3" t="s">
        <v>14</v>
      </c>
      <c r="E34" s="15">
        <v>3466001.7779999999</v>
      </c>
      <c r="F34" s="16">
        <f>(E34/3.6)*1000</f>
        <v>962778271.66666663</v>
      </c>
      <c r="G34" s="3" t="s">
        <v>14</v>
      </c>
      <c r="H34" s="15">
        <v>243193.1</v>
      </c>
      <c r="I34" s="17">
        <f t="shared" si="4"/>
        <v>67553638.888888896</v>
      </c>
    </row>
    <row r="35" spans="1:10">
      <c r="A35" s="51"/>
      <c r="B35" s="25"/>
      <c r="C35" s="25"/>
      <c r="D35" s="26"/>
      <c r="E35" s="25"/>
      <c r="F35" s="25"/>
      <c r="G35" s="26"/>
      <c r="H35" s="25"/>
      <c r="I35" s="25"/>
    </row>
    <row r="36" spans="1:10" ht="28.15" customHeight="1">
      <c r="A36" s="7" t="s">
        <v>3</v>
      </c>
      <c r="B36" s="163" t="s">
        <v>17</v>
      </c>
      <c r="C36" s="163"/>
      <c r="D36" s="163"/>
      <c r="E36" s="164"/>
      <c r="F36" s="164"/>
      <c r="G36" s="164"/>
      <c r="H36" s="164"/>
      <c r="I36" s="64"/>
      <c r="J36" s="64"/>
    </row>
    <row r="37" spans="1:10" ht="28.15" customHeight="1">
      <c r="A37" s="7" t="s">
        <v>4</v>
      </c>
      <c r="B37" s="165" t="s">
        <v>13</v>
      </c>
      <c r="C37" s="165"/>
      <c r="D37" s="165"/>
      <c r="E37" s="165"/>
      <c r="F37" s="165"/>
      <c r="G37" s="165"/>
      <c r="H37" s="165"/>
      <c r="I37" s="61"/>
      <c r="J37" s="64"/>
    </row>
    <row r="38" spans="1:10" ht="28.15" customHeight="1">
      <c r="A38" s="7" t="s">
        <v>5</v>
      </c>
      <c r="B38" s="165" t="s">
        <v>18</v>
      </c>
      <c r="C38" s="165"/>
      <c r="D38" s="165"/>
      <c r="E38" s="166"/>
      <c r="F38" s="166"/>
      <c r="G38" s="166"/>
      <c r="H38" s="166"/>
      <c r="I38" s="62"/>
      <c r="J38" s="62"/>
    </row>
    <row r="39" spans="1:10" ht="28.15" customHeight="1">
      <c r="A39" s="7" t="s">
        <v>6</v>
      </c>
      <c r="B39" s="165" t="s">
        <v>0</v>
      </c>
      <c r="C39" s="165"/>
      <c r="D39" s="165"/>
      <c r="E39" s="165"/>
      <c r="F39" s="165"/>
      <c r="G39" s="165"/>
      <c r="H39" s="165"/>
      <c r="I39" s="61"/>
      <c r="J39" s="62"/>
    </row>
    <row r="40" spans="1:10" ht="28.15" customHeight="1">
      <c r="A40" s="7" t="s">
        <v>7</v>
      </c>
      <c r="B40" s="165" t="s">
        <v>16</v>
      </c>
      <c r="C40" s="165"/>
      <c r="D40" s="165"/>
      <c r="E40" s="166"/>
      <c r="F40" s="166"/>
      <c r="G40" s="166"/>
      <c r="H40" s="166"/>
      <c r="I40" s="62"/>
      <c r="J40" s="4"/>
    </row>
    <row r="41" spans="1:10" ht="28.15" customHeight="1">
      <c r="A41" s="28" t="s">
        <v>19</v>
      </c>
      <c r="B41" s="149" t="s">
        <v>20</v>
      </c>
      <c r="C41" s="150"/>
      <c r="D41" s="150"/>
      <c r="E41" s="150"/>
      <c r="F41" s="150"/>
      <c r="G41" s="150"/>
      <c r="H41" s="150"/>
      <c r="I41" s="63"/>
      <c r="J41" s="6"/>
    </row>
    <row r="42" spans="1:10" ht="28.15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10" ht="28.15" customHeight="1">
      <c r="A43" s="1"/>
      <c r="B43" s="1"/>
      <c r="C43" s="1"/>
      <c r="D43" s="1"/>
      <c r="E43" s="1"/>
      <c r="F43" s="1"/>
      <c r="G43" s="1"/>
      <c r="H43" s="1"/>
      <c r="I43" s="1"/>
    </row>
    <row r="44" spans="1:10" ht="28.15" customHeight="1">
      <c r="A44" s="1"/>
      <c r="B44" s="1"/>
      <c r="C44" s="1"/>
      <c r="D44" s="1"/>
      <c r="E44" s="1"/>
      <c r="F44" s="1"/>
      <c r="G44" s="1"/>
      <c r="H44" s="1"/>
      <c r="I44" s="1"/>
    </row>
    <row r="45" spans="1:10" ht="28.15" customHeight="1"/>
  </sheetData>
  <mergeCells count="13">
    <mergeCell ref="B41:H41"/>
    <mergeCell ref="A1:I1"/>
    <mergeCell ref="A2:A3"/>
    <mergeCell ref="B2:C2"/>
    <mergeCell ref="D2:D3"/>
    <mergeCell ref="E2:F2"/>
    <mergeCell ref="G2:G3"/>
    <mergeCell ref="H2:I2"/>
    <mergeCell ref="B36:H36"/>
    <mergeCell ref="B37:H37"/>
    <mergeCell ref="B38:H38"/>
    <mergeCell ref="B39:H39"/>
    <mergeCell ref="B40:H4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J28" sqref="J28"/>
    </sheetView>
  </sheetViews>
  <sheetFormatPr defaultRowHeight="12.75"/>
  <cols>
    <col min="1" max="1" width="10.140625" customWidth="1"/>
    <col min="2" max="2" width="16.85546875" customWidth="1"/>
    <col min="3" max="3" width="16.5703125" customWidth="1"/>
    <col min="4" max="4" width="19.85546875" customWidth="1"/>
    <col min="5" max="6" width="17.140625" customWidth="1"/>
    <col min="7" max="7" width="19.85546875" customWidth="1"/>
    <col min="8" max="8" width="16.85546875" customWidth="1"/>
    <col min="9" max="9" width="17.140625" customWidth="1"/>
  </cols>
  <sheetData>
    <row r="1" spans="1:9" ht="61.15" customHeight="1" thickBot="1">
      <c r="A1" s="151" t="s">
        <v>28</v>
      </c>
      <c r="B1" s="151"/>
      <c r="C1" s="151"/>
      <c r="D1" s="151"/>
      <c r="E1" s="151"/>
      <c r="F1" s="151"/>
      <c r="G1" s="151"/>
      <c r="H1" s="151"/>
      <c r="I1" s="151"/>
    </row>
    <row r="2" spans="1:9">
      <c r="A2" s="152" t="s">
        <v>11</v>
      </c>
      <c r="B2" s="153" t="s">
        <v>2</v>
      </c>
      <c r="C2" s="154"/>
      <c r="D2" s="155" t="s">
        <v>12</v>
      </c>
      <c r="E2" s="157" t="s">
        <v>8</v>
      </c>
      <c r="F2" s="158"/>
      <c r="G2" s="159" t="s">
        <v>9</v>
      </c>
      <c r="H2" s="161" t="s">
        <v>10</v>
      </c>
      <c r="I2" s="162"/>
    </row>
    <row r="3" spans="1:9">
      <c r="A3" s="152"/>
      <c r="B3" s="5" t="s">
        <v>1</v>
      </c>
      <c r="C3" s="10" t="s">
        <v>29</v>
      </c>
      <c r="D3" s="156"/>
      <c r="E3" s="2" t="s">
        <v>1</v>
      </c>
      <c r="F3" s="11" t="s">
        <v>29</v>
      </c>
      <c r="G3" s="160"/>
      <c r="H3" s="12" t="s">
        <v>1</v>
      </c>
      <c r="I3" s="13" t="s">
        <v>29</v>
      </c>
    </row>
    <row r="4" spans="1:9">
      <c r="A4" s="18">
        <v>1</v>
      </c>
      <c r="B4" s="15">
        <f>634782030/1000</f>
        <v>634782.03</v>
      </c>
      <c r="C4" s="16">
        <f>(B4/3.6)*1000</f>
        <v>176328341.66666669</v>
      </c>
      <c r="D4" s="3" t="s">
        <v>14</v>
      </c>
      <c r="E4" s="15"/>
      <c r="F4" s="16"/>
      <c r="G4" s="3"/>
      <c r="H4" s="15">
        <v>1617808.9000000001</v>
      </c>
      <c r="I4" s="17">
        <f t="shared" ref="I4:I23" si="0">(H4/3.6)*1000</f>
        <v>449391361.1111111</v>
      </c>
    </row>
    <row r="5" spans="1:9">
      <c r="A5" s="69">
        <f>A4+1</f>
        <v>2</v>
      </c>
      <c r="B5" s="15">
        <f>515471297/1000</f>
        <v>515471.29700000002</v>
      </c>
      <c r="C5" s="16">
        <f>(B5/3.6)*1000</f>
        <v>143186471.3888889</v>
      </c>
      <c r="D5" s="3" t="s">
        <v>14</v>
      </c>
      <c r="E5" s="15">
        <v>3321497.1949999998</v>
      </c>
      <c r="F5" s="16">
        <f>(E5/3.6)*1000</f>
        <v>922638109.72222221</v>
      </c>
      <c r="G5" s="3" t="s">
        <v>14</v>
      </c>
      <c r="H5" s="15">
        <v>2765137.6</v>
      </c>
      <c r="I5" s="17">
        <f t="shared" si="0"/>
        <v>768093777.77777779</v>
      </c>
    </row>
    <row r="6" spans="1:9">
      <c r="A6" s="8">
        <f>A5+1</f>
        <v>3</v>
      </c>
      <c r="B6" s="15">
        <f>832065113/1000</f>
        <v>832065.11300000001</v>
      </c>
      <c r="C6" s="16">
        <f>(B6/3.6)*1000</f>
        <v>231129198.05555555</v>
      </c>
      <c r="D6" s="3" t="s">
        <v>14</v>
      </c>
      <c r="E6" s="15"/>
      <c r="F6" s="16"/>
      <c r="G6" s="3"/>
      <c r="H6" s="15">
        <v>5586047.9236052744</v>
      </c>
      <c r="I6" s="17">
        <f t="shared" si="0"/>
        <v>1551679978.7792428</v>
      </c>
    </row>
    <row r="7" spans="1:9">
      <c r="A7" s="8">
        <f t="shared" ref="A7:A34" si="1">A6+1</f>
        <v>4</v>
      </c>
      <c r="B7" s="15">
        <f>852068747/1000</f>
        <v>852068.74699999997</v>
      </c>
      <c r="C7" s="16">
        <f>(B7/3.6)*1000</f>
        <v>236685763.05555555</v>
      </c>
      <c r="D7" s="3" t="s">
        <v>14</v>
      </c>
      <c r="E7" s="15"/>
      <c r="F7" s="16"/>
      <c r="G7" s="3"/>
      <c r="H7" s="15">
        <v>4745736.0910000009</v>
      </c>
      <c r="I7" s="17">
        <f t="shared" si="0"/>
        <v>1318260025.2777781</v>
      </c>
    </row>
    <row r="8" spans="1:9">
      <c r="A8" s="8">
        <f t="shared" si="1"/>
        <v>5</v>
      </c>
      <c r="B8" s="15">
        <f>851965486/1000</f>
        <v>851965.48600000003</v>
      </c>
      <c r="C8" s="16">
        <f>(B8/3.6)*1000</f>
        <v>236657079.44444445</v>
      </c>
      <c r="D8" s="3" t="s">
        <v>14</v>
      </c>
      <c r="E8" s="33"/>
      <c r="F8" s="16"/>
      <c r="G8" s="3"/>
      <c r="H8" s="15">
        <v>3884832.6108581969</v>
      </c>
      <c r="I8" s="17">
        <f t="shared" si="0"/>
        <v>1079120169.6828325</v>
      </c>
    </row>
    <row r="9" spans="1:9">
      <c r="A9" s="8">
        <f t="shared" si="1"/>
        <v>6</v>
      </c>
      <c r="B9" s="15">
        <v>852138.478</v>
      </c>
      <c r="C9" s="16">
        <f t="shared" ref="C9:C15" si="2">(B9/3.6)*1000</f>
        <v>236705132.77777776</v>
      </c>
      <c r="D9" s="3" t="s">
        <v>14</v>
      </c>
      <c r="E9" s="16"/>
      <c r="F9" s="16"/>
      <c r="G9" s="3"/>
      <c r="H9" s="15">
        <v>3026608.0354803717</v>
      </c>
      <c r="I9" s="17">
        <f t="shared" si="0"/>
        <v>840724454.30010319</v>
      </c>
    </row>
    <row r="10" spans="1:9">
      <c r="A10" s="8">
        <f t="shared" si="1"/>
        <v>7</v>
      </c>
      <c r="B10" s="15">
        <v>851974.11300000001</v>
      </c>
      <c r="C10" s="16">
        <f t="shared" si="2"/>
        <v>236659475.83333334</v>
      </c>
      <c r="D10" s="3" t="s">
        <v>14</v>
      </c>
      <c r="E10" s="56"/>
      <c r="F10" s="16"/>
      <c r="G10" s="3"/>
      <c r="H10" s="15">
        <v>2168510.5365077141</v>
      </c>
      <c r="I10" s="17">
        <f t="shared" si="0"/>
        <v>602364037.91880941</v>
      </c>
    </row>
    <row r="11" spans="1:9">
      <c r="A11" s="18">
        <f t="shared" si="1"/>
        <v>8</v>
      </c>
      <c r="B11" s="15">
        <v>495169.85399999999</v>
      </c>
      <c r="C11" s="16">
        <f t="shared" si="2"/>
        <v>137547181.66666666</v>
      </c>
      <c r="D11" s="3" t="s">
        <v>14</v>
      </c>
      <c r="E11" s="24"/>
      <c r="F11" s="16"/>
      <c r="G11" s="3"/>
      <c r="H11" s="15">
        <v>1305906.6758529304</v>
      </c>
      <c r="I11" s="17">
        <f t="shared" si="0"/>
        <v>362751854.40359175</v>
      </c>
    </row>
    <row r="12" spans="1:9">
      <c r="A12" s="69">
        <f t="shared" si="1"/>
        <v>9</v>
      </c>
      <c r="B12" s="15">
        <v>336735.74099999998</v>
      </c>
      <c r="C12" s="16">
        <f t="shared" si="2"/>
        <v>93537705.833333328</v>
      </c>
      <c r="D12" s="3" t="s">
        <v>14</v>
      </c>
      <c r="E12" s="15">
        <v>3319885.4569999999</v>
      </c>
      <c r="F12" s="16">
        <f>(E12/3.6)*1000</f>
        <v>922190404.72222209</v>
      </c>
      <c r="G12" s="3" t="s">
        <v>14</v>
      </c>
      <c r="H12" s="15">
        <v>809176.62575058662</v>
      </c>
      <c r="I12" s="17">
        <f t="shared" si="0"/>
        <v>224771284.93071851</v>
      </c>
    </row>
    <row r="13" spans="1:9">
      <c r="A13" s="8">
        <f t="shared" si="1"/>
        <v>10</v>
      </c>
      <c r="B13" s="15">
        <v>633707.60699999996</v>
      </c>
      <c r="C13" s="16">
        <f t="shared" si="2"/>
        <v>176029890.83333331</v>
      </c>
      <c r="D13" s="3" t="s">
        <v>14</v>
      </c>
      <c r="E13" s="15"/>
      <c r="F13" s="16"/>
      <c r="G13" s="3"/>
      <c r="H13" s="15">
        <v>1995730.4614387692</v>
      </c>
      <c r="I13" s="17">
        <f t="shared" si="0"/>
        <v>554369572.62188029</v>
      </c>
    </row>
    <row r="14" spans="1:9">
      <c r="A14" s="8">
        <f t="shared" si="1"/>
        <v>11</v>
      </c>
      <c r="B14" s="15">
        <v>594684.70400000003</v>
      </c>
      <c r="C14" s="16">
        <f t="shared" si="2"/>
        <v>165190195.55555555</v>
      </c>
      <c r="D14" s="3" t="s">
        <v>14</v>
      </c>
      <c r="E14" s="15"/>
      <c r="F14" s="16"/>
      <c r="G14" s="3"/>
      <c r="H14" s="15">
        <v>3162118.5531689422</v>
      </c>
      <c r="I14" s="17">
        <f t="shared" si="0"/>
        <v>878366264.76915061</v>
      </c>
    </row>
    <row r="15" spans="1:9">
      <c r="A15" s="8">
        <f t="shared" si="1"/>
        <v>12</v>
      </c>
      <c r="B15" s="15">
        <v>475786.27500000002</v>
      </c>
      <c r="C15" s="16">
        <f t="shared" si="2"/>
        <v>132162854.16666666</v>
      </c>
      <c r="D15" s="3" t="s">
        <v>14</v>
      </c>
      <c r="E15" s="24"/>
      <c r="F15" s="16"/>
      <c r="G15" s="3"/>
      <c r="H15" s="15">
        <v>2563157.6310848678</v>
      </c>
      <c r="I15" s="17">
        <f t="shared" si="0"/>
        <v>711988230.85690773</v>
      </c>
    </row>
    <row r="16" spans="1:9">
      <c r="A16" s="8">
        <f t="shared" si="1"/>
        <v>13</v>
      </c>
      <c r="B16" s="15">
        <v>554627.40800000005</v>
      </c>
      <c r="C16" s="16">
        <f t="shared" ref="C16:C26" si="3">(B16/3.6)*1000</f>
        <v>154063168.8888889</v>
      </c>
      <c r="D16" s="3" t="s">
        <v>14</v>
      </c>
      <c r="E16" s="23">
        <v>3459609.7859999998</v>
      </c>
      <c r="F16" s="16">
        <f>(E16/3.6)*1000</f>
        <v>961002718.33333325</v>
      </c>
      <c r="G16" s="3" t="s">
        <v>14</v>
      </c>
      <c r="H16" s="15">
        <v>2091255.3881558583</v>
      </c>
      <c r="I16" s="17">
        <f t="shared" si="0"/>
        <v>580904274.48773837</v>
      </c>
    </row>
    <row r="17" spans="1:9">
      <c r="A17" s="8">
        <f t="shared" si="1"/>
        <v>14</v>
      </c>
      <c r="B17" s="15">
        <v>673286.07200000004</v>
      </c>
      <c r="C17" s="16">
        <f t="shared" si="3"/>
        <v>187023908.8888889</v>
      </c>
      <c r="D17" s="3" t="s">
        <v>14</v>
      </c>
      <c r="E17" s="24"/>
      <c r="F17" s="16"/>
      <c r="G17" s="3"/>
      <c r="H17" s="15">
        <v>3680439.6151101445</v>
      </c>
      <c r="I17" s="17">
        <f t="shared" si="0"/>
        <v>1022344337.5305957</v>
      </c>
    </row>
    <row r="18" spans="1:9">
      <c r="A18" s="69">
        <f t="shared" si="1"/>
        <v>15</v>
      </c>
      <c r="B18" s="15">
        <v>713585.179</v>
      </c>
      <c r="C18" s="16">
        <f t="shared" si="3"/>
        <v>198218105.27777776</v>
      </c>
      <c r="D18" s="3" t="s">
        <v>14</v>
      </c>
      <c r="E18" s="24"/>
      <c r="F18" s="16"/>
      <c r="G18" s="9"/>
      <c r="H18" s="15">
        <v>4320743.4862240143</v>
      </c>
      <c r="I18" s="17">
        <f t="shared" si="0"/>
        <v>1200206523.9511151</v>
      </c>
    </row>
    <row r="19" spans="1:9">
      <c r="A19" s="18">
        <f t="shared" si="1"/>
        <v>16</v>
      </c>
      <c r="B19" s="15">
        <v>697889.61199999996</v>
      </c>
      <c r="C19" s="16">
        <f t="shared" si="3"/>
        <v>193858225.55555555</v>
      </c>
      <c r="D19" s="3" t="s">
        <v>14</v>
      </c>
      <c r="E19" s="23"/>
      <c r="F19" s="16"/>
      <c r="G19" s="9"/>
      <c r="H19" s="15">
        <v>3596472.1736619235</v>
      </c>
      <c r="I19" s="17">
        <f t="shared" si="0"/>
        <v>999020048.23942316</v>
      </c>
    </row>
    <row r="20" spans="1:9">
      <c r="A20" s="8">
        <f t="shared" si="1"/>
        <v>17</v>
      </c>
      <c r="B20" s="15">
        <v>752899.48199999996</v>
      </c>
      <c r="C20" s="16">
        <f t="shared" si="3"/>
        <v>209138745</v>
      </c>
      <c r="D20" s="3" t="s">
        <v>14</v>
      </c>
      <c r="E20" s="23">
        <v>3461140.727</v>
      </c>
      <c r="F20" s="16">
        <f>(E20/3.6)*1000</f>
        <v>961427979.72222221</v>
      </c>
      <c r="G20" s="3" t="s">
        <v>14</v>
      </c>
      <c r="H20" s="15">
        <v>2891173.6917726565</v>
      </c>
      <c r="I20" s="17">
        <f t="shared" si="0"/>
        <v>803103803.27018237</v>
      </c>
    </row>
    <row r="21" spans="1:9">
      <c r="A21" s="8">
        <f t="shared" si="1"/>
        <v>18</v>
      </c>
      <c r="B21" s="15">
        <v>733700.27</v>
      </c>
      <c r="C21" s="16">
        <f t="shared" si="3"/>
        <v>203805630.55555555</v>
      </c>
      <c r="D21" s="3" t="s">
        <v>14</v>
      </c>
      <c r="E21" s="24"/>
      <c r="F21" s="21"/>
      <c r="G21" s="9"/>
      <c r="H21" s="15">
        <v>3361487.6592925787</v>
      </c>
      <c r="I21" s="17">
        <f t="shared" si="0"/>
        <v>933746572.0257163</v>
      </c>
    </row>
    <row r="22" spans="1:9">
      <c r="A22" s="8">
        <f t="shared" si="1"/>
        <v>19</v>
      </c>
      <c r="B22" s="15">
        <v>674042.00199999998</v>
      </c>
      <c r="C22" s="16">
        <f t="shared" si="3"/>
        <v>187233889.44444445</v>
      </c>
      <c r="D22" s="3" t="s">
        <v>14</v>
      </c>
      <c r="E22" s="15"/>
      <c r="F22" s="16"/>
      <c r="G22" s="3"/>
      <c r="H22" s="15">
        <v>4874084.4579316406</v>
      </c>
      <c r="I22" s="17">
        <f t="shared" si="0"/>
        <v>1353912349.4254558</v>
      </c>
    </row>
    <row r="23" spans="1:9">
      <c r="A23" s="8">
        <f t="shared" si="1"/>
        <v>20</v>
      </c>
      <c r="B23" s="15">
        <v>852626.64399999997</v>
      </c>
      <c r="C23" s="16">
        <f t="shared" si="3"/>
        <v>236840734.44444442</v>
      </c>
      <c r="D23" s="3" t="s">
        <v>14</v>
      </c>
      <c r="E23" s="15"/>
      <c r="F23" s="16"/>
      <c r="G23" s="3"/>
      <c r="H23" s="15">
        <v>4193318.5491546872</v>
      </c>
      <c r="I23" s="17">
        <f t="shared" si="0"/>
        <v>1164810708.0985243</v>
      </c>
    </row>
    <row r="24" spans="1:9">
      <c r="A24" s="8">
        <f t="shared" si="1"/>
        <v>21</v>
      </c>
      <c r="B24" s="15">
        <v>852419.38300000003</v>
      </c>
      <c r="C24" s="16">
        <f t="shared" si="3"/>
        <v>236783161.94444445</v>
      </c>
      <c r="D24" s="3" t="s">
        <v>14</v>
      </c>
      <c r="E24" s="15">
        <v>3312219.3909999998</v>
      </c>
      <c r="F24" s="16">
        <v>920060941.9444443</v>
      </c>
      <c r="G24" s="3" t="s">
        <v>14</v>
      </c>
      <c r="H24" s="15">
        <v>3325221.6</v>
      </c>
      <c r="I24" s="17">
        <v>923672666.66666663</v>
      </c>
    </row>
    <row r="25" spans="1:9">
      <c r="A25" s="69">
        <f t="shared" si="1"/>
        <v>22</v>
      </c>
      <c r="B25" s="15">
        <v>396298.07</v>
      </c>
      <c r="C25" s="16">
        <f t="shared" si="3"/>
        <v>110082797.22222221</v>
      </c>
      <c r="D25" s="3" t="s">
        <v>14</v>
      </c>
      <c r="E25" s="19"/>
      <c r="F25" s="16"/>
      <c r="G25" s="3"/>
      <c r="H25" s="15">
        <v>3496982.3000000003</v>
      </c>
      <c r="I25" s="17">
        <v>971383972.22222221</v>
      </c>
    </row>
    <row r="26" spans="1:9">
      <c r="A26" s="18">
        <f t="shared" si="1"/>
        <v>23</v>
      </c>
      <c r="B26" s="15">
        <v>396168.97399999999</v>
      </c>
      <c r="C26" s="16">
        <f t="shared" si="3"/>
        <v>110046937.22222221</v>
      </c>
      <c r="D26" s="3" t="s">
        <v>14</v>
      </c>
      <c r="E26" s="15"/>
      <c r="F26" s="16"/>
      <c r="G26" s="3"/>
      <c r="H26" s="15">
        <v>5418957.3000000007</v>
      </c>
      <c r="I26" s="17">
        <v>1505265916.6666667</v>
      </c>
    </row>
    <row r="27" spans="1:9">
      <c r="A27" s="8">
        <f t="shared" si="1"/>
        <v>24</v>
      </c>
      <c r="B27" s="15">
        <v>753345.64500000002</v>
      </c>
      <c r="C27" s="16">
        <f t="shared" ref="C27:C34" si="4">(B27/3.6)*1000</f>
        <v>209262679.16666666</v>
      </c>
      <c r="D27" s="3" t="s">
        <v>14</v>
      </c>
      <c r="E27" s="15"/>
      <c r="F27" s="16"/>
      <c r="G27" s="3"/>
      <c r="H27" s="15">
        <v>5015141.6630849605</v>
      </c>
      <c r="I27" s="17">
        <f t="shared" ref="I27:I34" si="5">(H27/3.6)*1000</f>
        <v>1393094906.4124889</v>
      </c>
    </row>
    <row r="28" spans="1:9">
      <c r="A28" s="8">
        <f t="shared" si="1"/>
        <v>25</v>
      </c>
      <c r="B28" s="15">
        <f>653999929/1000</f>
        <v>653999.929</v>
      </c>
      <c r="C28" s="16">
        <f t="shared" si="4"/>
        <v>181666646.94444445</v>
      </c>
      <c r="D28" s="3" t="s">
        <v>14</v>
      </c>
      <c r="E28" s="15"/>
      <c r="F28" s="16"/>
      <c r="G28" s="3"/>
      <c r="H28" s="15">
        <v>4235212.3223007815</v>
      </c>
      <c r="I28" s="17">
        <f t="shared" si="5"/>
        <v>1176447867.3057725</v>
      </c>
    </row>
    <row r="29" spans="1:9">
      <c r="A29" s="8">
        <f t="shared" si="1"/>
        <v>26</v>
      </c>
      <c r="B29" s="15">
        <f>654240064/1000</f>
        <v>654240.06400000001</v>
      </c>
      <c r="C29" s="16">
        <f t="shared" si="4"/>
        <v>181733351.1111111</v>
      </c>
      <c r="D29" s="3" t="s">
        <v>14</v>
      </c>
      <c r="E29" s="27"/>
      <c r="F29" s="16"/>
      <c r="G29" s="3"/>
      <c r="H29" s="15">
        <v>3581953.6045427737</v>
      </c>
      <c r="I29" s="17">
        <f t="shared" si="5"/>
        <v>994987112.37299263</v>
      </c>
    </row>
    <row r="30" spans="1:9">
      <c r="A30" s="8">
        <f t="shared" si="1"/>
        <v>27</v>
      </c>
      <c r="B30" s="15">
        <f>654384445/1000</f>
        <v>654384.44499999995</v>
      </c>
      <c r="C30" s="16">
        <f t="shared" si="4"/>
        <v>181773456.94444442</v>
      </c>
      <c r="D30" s="3" t="s">
        <v>14</v>
      </c>
      <c r="E30" s="15"/>
      <c r="F30" s="16"/>
      <c r="G30" s="3"/>
      <c r="H30" s="15">
        <v>2917836.5014000004</v>
      </c>
      <c r="I30" s="17">
        <f t="shared" si="5"/>
        <v>810510139.27777791</v>
      </c>
    </row>
    <row r="31" spans="1:9">
      <c r="A31" s="8">
        <f t="shared" si="1"/>
        <v>28</v>
      </c>
      <c r="B31" s="15">
        <f>654738729/1000</f>
        <v>654738.72900000005</v>
      </c>
      <c r="C31" s="16">
        <f t="shared" si="4"/>
        <v>181871869.16666666</v>
      </c>
      <c r="D31" s="3" t="s">
        <v>14</v>
      </c>
      <c r="E31" s="15"/>
      <c r="F31" s="16"/>
      <c r="G31" s="3"/>
      <c r="H31" s="15">
        <v>2260849.3307738281</v>
      </c>
      <c r="I31" s="17">
        <f t="shared" si="5"/>
        <v>628013702.9927299</v>
      </c>
    </row>
    <row r="32" spans="1:9">
      <c r="A32" s="69">
        <f t="shared" si="1"/>
        <v>29</v>
      </c>
      <c r="B32" s="15">
        <f>178122735/1000</f>
        <v>178122.73499999999</v>
      </c>
      <c r="C32" s="16">
        <f t="shared" si="4"/>
        <v>49478537.499999993</v>
      </c>
      <c r="D32" s="3" t="s">
        <v>14</v>
      </c>
      <c r="E32" s="15"/>
      <c r="F32" s="16"/>
      <c r="G32" s="3"/>
      <c r="H32" s="15">
        <v>1599002.7152963867</v>
      </c>
      <c r="I32" s="17">
        <f t="shared" si="5"/>
        <v>444167420.91566294</v>
      </c>
    </row>
    <row r="33" spans="1:10">
      <c r="A33" s="18">
        <f t="shared" si="1"/>
        <v>30</v>
      </c>
      <c r="B33" s="15">
        <f>138578674/1000</f>
        <v>138578.674</v>
      </c>
      <c r="C33" s="16">
        <f t="shared" si="4"/>
        <v>38494076.111111112</v>
      </c>
      <c r="D33" s="3" t="s">
        <v>14</v>
      </c>
      <c r="E33" s="15"/>
      <c r="F33" s="16"/>
      <c r="G33" s="3"/>
      <c r="H33" s="15">
        <v>1418601.0501771485</v>
      </c>
      <c r="I33" s="17">
        <f t="shared" si="5"/>
        <v>394055847.27143013</v>
      </c>
    </row>
    <row r="34" spans="1:10">
      <c r="A34" s="14">
        <f t="shared" si="1"/>
        <v>31</v>
      </c>
      <c r="B34" s="15">
        <f>515489427/1000</f>
        <v>515489.42700000003</v>
      </c>
      <c r="C34" s="16">
        <f t="shared" si="4"/>
        <v>143191507.5</v>
      </c>
      <c r="D34" s="3" t="s">
        <v>14</v>
      </c>
      <c r="E34" s="15"/>
      <c r="F34" s="16"/>
      <c r="G34" s="3"/>
      <c r="H34" s="15">
        <v>1272192.2036720214</v>
      </c>
      <c r="I34" s="17">
        <f t="shared" si="5"/>
        <v>353386723.24222815</v>
      </c>
    </row>
    <row r="35" spans="1:10" ht="28.15" customHeight="1">
      <c r="A35" s="51"/>
      <c r="B35" s="25"/>
      <c r="C35" s="25"/>
      <c r="D35" s="26"/>
      <c r="E35" s="25"/>
      <c r="F35" s="25"/>
      <c r="G35" s="26"/>
      <c r="H35" s="25"/>
      <c r="I35" s="25"/>
    </row>
    <row r="36" spans="1:10" ht="27.6" customHeight="1">
      <c r="A36" s="7" t="s">
        <v>3</v>
      </c>
      <c r="B36" s="163" t="s">
        <v>17</v>
      </c>
      <c r="C36" s="163"/>
      <c r="D36" s="163"/>
      <c r="E36" s="164"/>
      <c r="F36" s="164"/>
      <c r="G36" s="164"/>
      <c r="H36" s="164"/>
      <c r="I36" s="68"/>
      <c r="J36" s="68"/>
    </row>
    <row r="37" spans="1:10" ht="27.6" customHeight="1">
      <c r="A37" s="7" t="s">
        <v>4</v>
      </c>
      <c r="B37" s="165" t="s">
        <v>13</v>
      </c>
      <c r="C37" s="165"/>
      <c r="D37" s="165"/>
      <c r="E37" s="165"/>
      <c r="F37" s="165"/>
      <c r="G37" s="165"/>
      <c r="H37" s="165"/>
      <c r="I37" s="65"/>
      <c r="J37" s="68"/>
    </row>
    <row r="38" spans="1:10" ht="27.6" customHeight="1">
      <c r="A38" s="7" t="s">
        <v>5</v>
      </c>
      <c r="B38" s="165" t="s">
        <v>18</v>
      </c>
      <c r="C38" s="165"/>
      <c r="D38" s="165"/>
      <c r="E38" s="166"/>
      <c r="F38" s="166"/>
      <c r="G38" s="166"/>
      <c r="H38" s="166"/>
      <c r="I38" s="66"/>
      <c r="J38" s="66"/>
    </row>
    <row r="39" spans="1:10" ht="27.6" customHeight="1">
      <c r="A39" s="7" t="s">
        <v>6</v>
      </c>
      <c r="B39" s="165" t="s">
        <v>0</v>
      </c>
      <c r="C39" s="165"/>
      <c r="D39" s="165"/>
      <c r="E39" s="165"/>
      <c r="F39" s="165"/>
      <c r="G39" s="165"/>
      <c r="H39" s="165"/>
      <c r="I39" s="65"/>
      <c r="J39" s="66"/>
    </row>
    <row r="40" spans="1:10" ht="27.6" customHeight="1">
      <c r="A40" s="7" t="s">
        <v>7</v>
      </c>
      <c r="B40" s="165" t="s">
        <v>16</v>
      </c>
      <c r="C40" s="165"/>
      <c r="D40" s="165"/>
      <c r="E40" s="166"/>
      <c r="F40" s="166"/>
      <c r="G40" s="166"/>
      <c r="H40" s="166"/>
      <c r="I40" s="66"/>
      <c r="J40" s="4"/>
    </row>
    <row r="41" spans="1:10" ht="27.6" customHeight="1">
      <c r="A41" s="28" t="s">
        <v>19</v>
      </c>
      <c r="B41" s="149" t="s">
        <v>20</v>
      </c>
      <c r="C41" s="150"/>
      <c r="D41" s="150"/>
      <c r="E41" s="150"/>
      <c r="F41" s="150"/>
      <c r="G41" s="150"/>
      <c r="H41" s="150"/>
      <c r="I41" s="67"/>
      <c r="J41" s="6"/>
    </row>
    <row r="42" spans="1:10" ht="27.6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10" ht="27.6" customHeight="1">
      <c r="A43" s="1"/>
      <c r="B43" s="1"/>
      <c r="C43" s="1"/>
      <c r="D43" s="1"/>
      <c r="E43" s="1"/>
      <c r="F43" s="1"/>
      <c r="G43" s="1"/>
      <c r="H43" s="1"/>
      <c r="I43" s="1"/>
    </row>
    <row r="44" spans="1:10" ht="27.6" customHeight="1">
      <c r="A44" s="1"/>
      <c r="B44" s="1"/>
      <c r="C44" s="1"/>
      <c r="D44" s="1"/>
      <c r="E44" s="1"/>
      <c r="F44" s="1"/>
      <c r="G44" s="1"/>
      <c r="H44" s="1"/>
      <c r="I44" s="1"/>
    </row>
  </sheetData>
  <mergeCells count="13">
    <mergeCell ref="B41:H41"/>
    <mergeCell ref="A1:I1"/>
    <mergeCell ref="A2:A3"/>
    <mergeCell ref="B2:C2"/>
    <mergeCell ref="D2:D3"/>
    <mergeCell ref="E2:F2"/>
    <mergeCell ref="G2:G3"/>
    <mergeCell ref="H2:I2"/>
    <mergeCell ref="B36:H36"/>
    <mergeCell ref="B37:H37"/>
    <mergeCell ref="B38:H38"/>
    <mergeCell ref="B39:H39"/>
    <mergeCell ref="B40:H4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0" workbookViewId="0">
      <selection activeCell="D5" sqref="D5:D33"/>
    </sheetView>
  </sheetViews>
  <sheetFormatPr defaultRowHeight="12.75"/>
  <cols>
    <col min="1" max="1" width="10.140625" customWidth="1"/>
    <col min="2" max="2" width="16.85546875" customWidth="1"/>
    <col min="3" max="3" width="16.5703125" customWidth="1"/>
    <col min="4" max="4" width="19.85546875" customWidth="1"/>
    <col min="5" max="6" width="17.140625" customWidth="1"/>
    <col min="7" max="7" width="19.85546875" customWidth="1"/>
    <col min="8" max="8" width="16.85546875" customWidth="1"/>
    <col min="9" max="9" width="17.140625" customWidth="1"/>
  </cols>
  <sheetData>
    <row r="1" spans="1:9" ht="54" customHeight="1" thickBot="1">
      <c r="A1" s="151" t="s">
        <v>30</v>
      </c>
      <c r="B1" s="151"/>
      <c r="C1" s="151"/>
      <c r="D1" s="151"/>
      <c r="E1" s="151"/>
      <c r="F1" s="151"/>
      <c r="G1" s="151"/>
      <c r="H1" s="151"/>
      <c r="I1" s="151"/>
    </row>
    <row r="2" spans="1:9">
      <c r="A2" s="152" t="s">
        <v>11</v>
      </c>
      <c r="B2" s="153" t="s">
        <v>2</v>
      </c>
      <c r="C2" s="154"/>
      <c r="D2" s="155" t="s">
        <v>12</v>
      </c>
      <c r="E2" s="157" t="s">
        <v>8</v>
      </c>
      <c r="F2" s="158"/>
      <c r="G2" s="159" t="s">
        <v>9</v>
      </c>
      <c r="H2" s="161" t="s">
        <v>10</v>
      </c>
      <c r="I2" s="162"/>
    </row>
    <row r="3" spans="1:9">
      <c r="A3" s="152"/>
      <c r="B3" s="5" t="s">
        <v>1</v>
      </c>
      <c r="C3" s="10" t="s">
        <v>29</v>
      </c>
      <c r="D3" s="156"/>
      <c r="E3" s="2" t="s">
        <v>1</v>
      </c>
      <c r="F3" s="11" t="s">
        <v>29</v>
      </c>
      <c r="G3" s="160"/>
      <c r="H3" s="12" t="s">
        <v>1</v>
      </c>
      <c r="I3" s="13" t="s">
        <v>29</v>
      </c>
    </row>
    <row r="4" spans="1:9">
      <c r="A4" s="8">
        <v>1</v>
      </c>
      <c r="B4" s="15">
        <f>416574800/1000</f>
        <v>416574.8</v>
      </c>
      <c r="C4" s="16">
        <f t="shared" ref="C4:C9" si="0">(B4/3.6)*1000</f>
        <v>115715222.22222222</v>
      </c>
      <c r="D4" s="3" t="s">
        <v>14</v>
      </c>
      <c r="E4" s="15"/>
      <c r="F4" s="16"/>
      <c r="G4" s="3"/>
      <c r="H4" s="15">
        <v>749111.1662051758</v>
      </c>
      <c r="I4" s="17">
        <f>(H4/3.6)*1000</f>
        <v>208086435.05699328</v>
      </c>
    </row>
    <row r="5" spans="1:9">
      <c r="A5" s="14">
        <f>A4+1</f>
        <v>2</v>
      </c>
      <c r="B5" s="15">
        <f>417035166/1000</f>
        <v>417035.16600000003</v>
      </c>
      <c r="C5" s="16">
        <f t="shared" si="0"/>
        <v>115843101.66666667</v>
      </c>
      <c r="D5" s="3" t="s">
        <v>14</v>
      </c>
      <c r="E5" s="15">
        <v>3452723.568</v>
      </c>
      <c r="F5" s="16">
        <f>(E5/3.6)*1000</f>
        <v>959089880</v>
      </c>
      <c r="G5" s="3" t="s">
        <v>14</v>
      </c>
      <c r="H5" s="15">
        <v>328082.96200537105</v>
      </c>
      <c r="I5" s="17">
        <f>(H5/3.6)*1000</f>
        <v>91134156.112603068</v>
      </c>
    </row>
    <row r="6" spans="1:9">
      <c r="A6" s="8">
        <f>A5+1</f>
        <v>3</v>
      </c>
      <c r="B6" s="15">
        <f>515740906/1000</f>
        <v>515740.90600000002</v>
      </c>
      <c r="C6" s="16">
        <f t="shared" si="0"/>
        <v>143261362.77777776</v>
      </c>
      <c r="D6" s="3" t="s">
        <v>14</v>
      </c>
      <c r="E6" s="15"/>
      <c r="F6" s="16"/>
      <c r="G6" s="3"/>
      <c r="H6" s="15">
        <v>1486067.0634809083</v>
      </c>
      <c r="I6" s="17">
        <f>(H6/3.6)*1000</f>
        <v>412796406.52247447</v>
      </c>
    </row>
    <row r="7" spans="1:9">
      <c r="A7" s="8">
        <f t="shared" ref="A7:A33" si="1">A6+1</f>
        <v>4</v>
      </c>
      <c r="B7" s="15">
        <v>515466.43400000001</v>
      </c>
      <c r="C7" s="16">
        <f t="shared" si="0"/>
        <v>143185120.55555555</v>
      </c>
      <c r="D7" s="3" t="s">
        <v>14</v>
      </c>
      <c r="E7" s="15"/>
      <c r="F7" s="16"/>
      <c r="G7" s="3"/>
      <c r="H7" s="15">
        <v>2858626.3223535158</v>
      </c>
      <c r="I7" s="17">
        <f t="shared" ref="I7:I33" si="2">(H7/3.6)*1000</f>
        <v>794062867.32042098</v>
      </c>
    </row>
    <row r="8" spans="1:9">
      <c r="A8" s="18">
        <f t="shared" si="1"/>
        <v>5</v>
      </c>
      <c r="B8" s="15">
        <v>237684.61300000001</v>
      </c>
      <c r="C8" s="16">
        <f t="shared" si="0"/>
        <v>66023503.611111112</v>
      </c>
      <c r="D8" s="3" t="s">
        <v>14</v>
      </c>
      <c r="E8" s="15"/>
      <c r="F8" s="16"/>
      <c r="G8" s="3"/>
      <c r="H8" s="15">
        <v>2337766.2474874025</v>
      </c>
      <c r="I8" s="17">
        <f t="shared" si="2"/>
        <v>649379513.19094515</v>
      </c>
    </row>
    <row r="9" spans="1:9">
      <c r="A9" s="18">
        <f t="shared" si="1"/>
        <v>6</v>
      </c>
      <c r="B9" s="15">
        <v>237610.193</v>
      </c>
      <c r="C9" s="16">
        <f t="shared" si="0"/>
        <v>66002831.388888881</v>
      </c>
      <c r="D9" s="3" t="s">
        <v>14</v>
      </c>
      <c r="E9" s="15"/>
      <c r="F9" s="16"/>
      <c r="G9" s="3"/>
      <c r="H9" s="15">
        <v>2089367.3274101564</v>
      </c>
      <c r="I9" s="17">
        <f t="shared" si="2"/>
        <v>580379813.16948783</v>
      </c>
    </row>
    <row r="10" spans="1:9">
      <c r="A10" s="8">
        <f t="shared" si="1"/>
        <v>7</v>
      </c>
      <c r="B10" s="15">
        <v>515647.55499999999</v>
      </c>
      <c r="C10" s="16">
        <f t="shared" ref="C10:C33" si="3">(B10/3.6)*1000</f>
        <v>143235431.94444442</v>
      </c>
      <c r="D10" s="3" t="s">
        <v>14</v>
      </c>
      <c r="E10" s="15"/>
      <c r="F10" s="16"/>
      <c r="G10" s="3"/>
      <c r="H10" s="15">
        <v>1851456.2230686527</v>
      </c>
      <c r="I10" s="17">
        <f t="shared" si="2"/>
        <v>514293395.296848</v>
      </c>
    </row>
    <row r="11" spans="1:9">
      <c r="A11" s="8">
        <f t="shared" si="1"/>
        <v>8</v>
      </c>
      <c r="B11" s="15">
        <f>515627696/1000</f>
        <v>515627.696</v>
      </c>
      <c r="C11" s="16">
        <f t="shared" si="3"/>
        <v>143229915.55555555</v>
      </c>
      <c r="D11" s="3" t="s">
        <v>14</v>
      </c>
      <c r="E11" s="15"/>
      <c r="F11" s="16"/>
      <c r="G11" s="3"/>
      <c r="H11" s="15">
        <v>1331884.0993081543</v>
      </c>
      <c r="I11" s="17">
        <f t="shared" si="2"/>
        <v>369967805.3633762</v>
      </c>
    </row>
    <row r="12" spans="1:9">
      <c r="A12" s="14">
        <f t="shared" si="1"/>
        <v>9</v>
      </c>
      <c r="B12" s="15">
        <f>277523870/1000</f>
        <v>277523.87</v>
      </c>
      <c r="C12" s="16">
        <f t="shared" si="3"/>
        <v>77089963.888888881</v>
      </c>
      <c r="D12" s="3" t="s">
        <v>14</v>
      </c>
      <c r="E12" s="15"/>
      <c r="F12" s="16"/>
      <c r="G12" s="3"/>
      <c r="H12" s="15">
        <v>809915.78883686534</v>
      </c>
      <c r="I12" s="17">
        <f t="shared" si="2"/>
        <v>224976608.01024038</v>
      </c>
    </row>
    <row r="13" spans="1:9">
      <c r="A13" s="8">
        <f t="shared" si="1"/>
        <v>10</v>
      </c>
      <c r="B13" s="15">
        <f>516113324/1000</f>
        <v>516113.32400000002</v>
      </c>
      <c r="C13" s="16">
        <f t="shared" si="3"/>
        <v>143364812.22222221</v>
      </c>
      <c r="D13" s="3" t="s">
        <v>14</v>
      </c>
      <c r="E13" s="15">
        <v>3468852.5649999999</v>
      </c>
      <c r="F13" s="16">
        <f>(E13/3.6)*1000</f>
        <v>963570156.94444442</v>
      </c>
      <c r="G13" s="3" t="s">
        <v>14</v>
      </c>
      <c r="H13" s="15">
        <v>528851.76502729498</v>
      </c>
      <c r="I13" s="17">
        <f t="shared" si="2"/>
        <v>146903268.06313747</v>
      </c>
    </row>
    <row r="14" spans="1:9">
      <c r="A14" s="8">
        <f t="shared" si="1"/>
        <v>11</v>
      </c>
      <c r="B14" s="15">
        <f>516078864/1000</f>
        <v>516078.864</v>
      </c>
      <c r="C14" s="16">
        <f t="shared" si="3"/>
        <v>143355240</v>
      </c>
      <c r="D14" s="3" t="s">
        <v>14</v>
      </c>
      <c r="E14" s="15"/>
      <c r="F14" s="16"/>
      <c r="G14" s="3"/>
      <c r="H14" s="15">
        <v>1846951.7000000002</v>
      </c>
      <c r="I14" s="17">
        <f t="shared" si="2"/>
        <v>513042138.88888896</v>
      </c>
    </row>
    <row r="15" spans="1:9">
      <c r="A15" s="18">
        <f t="shared" si="1"/>
        <v>12</v>
      </c>
      <c r="B15" s="15">
        <f>416510571/1000</f>
        <v>416510.571</v>
      </c>
      <c r="C15" s="16">
        <f t="shared" si="3"/>
        <v>115697380.83333333</v>
      </c>
      <c r="D15" s="3" t="s">
        <v>14</v>
      </c>
      <c r="E15" s="15"/>
      <c r="F15" s="16"/>
      <c r="G15" s="3"/>
      <c r="H15" s="15">
        <v>2972469.9000000004</v>
      </c>
      <c r="I15" s="17">
        <f t="shared" si="2"/>
        <v>825686083.33333337</v>
      </c>
    </row>
    <row r="16" spans="1:9">
      <c r="A16" s="18">
        <f t="shared" si="1"/>
        <v>13</v>
      </c>
      <c r="B16" s="15">
        <f>357016135/1000</f>
        <v>357016.13500000001</v>
      </c>
      <c r="C16" s="16">
        <f t="shared" si="3"/>
        <v>99171148.611111119</v>
      </c>
      <c r="D16" s="3" t="s">
        <v>14</v>
      </c>
      <c r="E16" s="15"/>
      <c r="F16" s="16"/>
      <c r="G16" s="3"/>
      <c r="H16" s="15">
        <v>2550816.3000000003</v>
      </c>
      <c r="I16" s="17">
        <f t="shared" si="2"/>
        <v>708560083.33333337</v>
      </c>
    </row>
    <row r="17" spans="1:9">
      <c r="A17" s="8">
        <f t="shared" si="1"/>
        <v>14</v>
      </c>
      <c r="B17" s="15">
        <f>635244086/1000</f>
        <v>635244.08600000001</v>
      </c>
      <c r="C17" s="16">
        <f t="shared" si="3"/>
        <v>176456690.55555555</v>
      </c>
      <c r="D17" s="3" t="s">
        <v>14</v>
      </c>
      <c r="E17" s="15"/>
      <c r="F17" s="16"/>
      <c r="G17" s="3"/>
      <c r="H17" s="15">
        <v>2186352</v>
      </c>
      <c r="I17" s="17">
        <f t="shared" si="2"/>
        <v>607320000</v>
      </c>
    </row>
    <row r="18" spans="1:9">
      <c r="A18" s="14">
        <f t="shared" si="1"/>
        <v>15</v>
      </c>
      <c r="B18" s="15">
        <f>635519890/1000</f>
        <v>635519.89</v>
      </c>
      <c r="C18" s="16">
        <f t="shared" si="3"/>
        <v>176533302.77777776</v>
      </c>
      <c r="D18" s="3" t="s">
        <v>14</v>
      </c>
      <c r="E18" s="15">
        <v>3462051.7859999998</v>
      </c>
      <c r="F18" s="16">
        <f>(E18/3.6)*1000</f>
        <v>961681051.66666663</v>
      </c>
      <c r="G18" s="3" t="s">
        <v>14</v>
      </c>
      <c r="H18" s="15">
        <v>1542159</v>
      </c>
      <c r="I18" s="17">
        <f t="shared" si="2"/>
        <v>428377500</v>
      </c>
    </row>
    <row r="19" spans="1:9">
      <c r="A19" s="8">
        <f t="shared" si="1"/>
        <v>16</v>
      </c>
      <c r="B19" s="15">
        <f>792375318/1000</f>
        <v>792375.31799999997</v>
      </c>
      <c r="C19" s="16">
        <f t="shared" si="3"/>
        <v>220104254.99999997</v>
      </c>
      <c r="D19" s="3" t="s">
        <v>14</v>
      </c>
      <c r="E19" s="15"/>
      <c r="F19" s="16"/>
      <c r="G19" s="3"/>
      <c r="H19" s="15">
        <v>3695180.7</v>
      </c>
      <c r="I19" s="17">
        <f t="shared" si="2"/>
        <v>1026439083.3333334</v>
      </c>
    </row>
    <row r="20" spans="1:9">
      <c r="A20" s="8">
        <f t="shared" si="1"/>
        <v>17</v>
      </c>
      <c r="B20" s="15">
        <f>792908288/1000</f>
        <v>792908.28799999994</v>
      </c>
      <c r="C20" s="16">
        <f t="shared" si="3"/>
        <v>220252302.22222221</v>
      </c>
      <c r="D20" s="3" t="s">
        <v>14</v>
      </c>
      <c r="E20" s="15"/>
      <c r="F20" s="16"/>
      <c r="G20" s="3"/>
      <c r="H20" s="15">
        <v>3580537</v>
      </c>
      <c r="I20" s="17">
        <f t="shared" si="2"/>
        <v>994593611.11111116</v>
      </c>
    </row>
    <row r="21" spans="1:9">
      <c r="A21" s="8">
        <f t="shared" si="1"/>
        <v>18</v>
      </c>
      <c r="B21" s="15">
        <f>674328969/1000</f>
        <v>674328.96900000004</v>
      </c>
      <c r="C21" s="16">
        <f t="shared" si="3"/>
        <v>187313602.5</v>
      </c>
      <c r="D21" s="3" t="s">
        <v>14</v>
      </c>
      <c r="E21" s="15"/>
      <c r="F21" s="16"/>
      <c r="G21" s="3"/>
      <c r="H21" s="15">
        <v>2779573.5</v>
      </c>
      <c r="I21" s="17">
        <f t="shared" si="2"/>
        <v>772103750</v>
      </c>
    </row>
    <row r="22" spans="1:9">
      <c r="A22" s="18">
        <f t="shared" si="1"/>
        <v>19</v>
      </c>
      <c r="B22" s="15">
        <f>277123838/1000</f>
        <v>277123.83799999999</v>
      </c>
      <c r="C22" s="16">
        <f t="shared" si="3"/>
        <v>76978843.888888881</v>
      </c>
      <c r="D22" s="3" t="s">
        <v>14</v>
      </c>
      <c r="E22" s="15"/>
      <c r="F22" s="16"/>
      <c r="G22" s="3"/>
      <c r="H22" s="15">
        <v>2101110.3000000003</v>
      </c>
      <c r="I22" s="17">
        <f t="shared" si="2"/>
        <v>583641750.00000012</v>
      </c>
    </row>
    <row r="23" spans="1:9">
      <c r="A23" s="18">
        <f t="shared" si="1"/>
        <v>20</v>
      </c>
      <c r="B23" s="15">
        <f>237481300/1000</f>
        <v>237481.3</v>
      </c>
      <c r="C23" s="16">
        <f t="shared" si="3"/>
        <v>65967027.777777769</v>
      </c>
      <c r="D23" s="3" t="s">
        <v>14</v>
      </c>
      <c r="E23" s="15"/>
      <c r="F23" s="16"/>
      <c r="G23" s="3"/>
      <c r="H23" s="15">
        <v>1823767.5</v>
      </c>
      <c r="I23" s="17">
        <f t="shared" si="2"/>
        <v>506602083.33333331</v>
      </c>
    </row>
    <row r="24" spans="1:9">
      <c r="A24" s="8">
        <f t="shared" si="1"/>
        <v>21</v>
      </c>
      <c r="B24" s="15">
        <f>754058084/1000</f>
        <v>754058.08400000003</v>
      </c>
      <c r="C24" s="16">
        <f t="shared" si="3"/>
        <v>209460578.88888887</v>
      </c>
      <c r="D24" s="3" t="s">
        <v>14</v>
      </c>
      <c r="E24" s="15">
        <v>3319596.94</v>
      </c>
      <c r="F24" s="16">
        <f>(E24/3.6)*1000</f>
        <v>922110261.11111104</v>
      </c>
      <c r="G24" s="3" t="s">
        <v>14</v>
      </c>
      <c r="H24" s="15">
        <v>1579224.8</v>
      </c>
      <c r="I24" s="17">
        <f t="shared" si="2"/>
        <v>438673555.55555558</v>
      </c>
    </row>
    <row r="25" spans="1:9">
      <c r="A25" s="14">
        <f t="shared" si="1"/>
        <v>22</v>
      </c>
      <c r="B25" s="15">
        <f>634083729/1000</f>
        <v>634083.72900000005</v>
      </c>
      <c r="C25" s="16">
        <f t="shared" si="3"/>
        <v>176134369.16666666</v>
      </c>
      <c r="D25" s="3" t="s">
        <v>14</v>
      </c>
      <c r="E25" s="15"/>
      <c r="F25" s="16"/>
      <c r="G25" s="3"/>
      <c r="H25" s="15">
        <v>2257663.9</v>
      </c>
      <c r="I25" s="17">
        <f t="shared" si="2"/>
        <v>627128861.11111116</v>
      </c>
    </row>
    <row r="26" spans="1:9">
      <c r="A26" s="8">
        <f t="shared" si="1"/>
        <v>23</v>
      </c>
      <c r="B26" s="15">
        <f>633654093/1000</f>
        <v>633654.09299999999</v>
      </c>
      <c r="C26" s="16">
        <f t="shared" si="3"/>
        <v>176015025.83333331</v>
      </c>
      <c r="D26" s="3" t="s">
        <v>14</v>
      </c>
      <c r="E26" s="15"/>
      <c r="F26" s="16"/>
      <c r="G26" s="3"/>
      <c r="H26" s="15">
        <v>3517467.3000000003</v>
      </c>
      <c r="I26" s="17">
        <f t="shared" si="2"/>
        <v>977074250</v>
      </c>
    </row>
    <row r="27" spans="1:9">
      <c r="A27" s="8">
        <f t="shared" si="1"/>
        <v>24</v>
      </c>
      <c r="B27" s="15">
        <f>752751698/1000</f>
        <v>752751.69799999997</v>
      </c>
      <c r="C27" s="16">
        <f t="shared" si="3"/>
        <v>209097693.88888887</v>
      </c>
      <c r="D27" s="3" t="s">
        <v>14</v>
      </c>
      <c r="E27" s="15"/>
      <c r="F27" s="16"/>
      <c r="G27" s="3"/>
      <c r="H27" s="15">
        <v>2874393.6177689452</v>
      </c>
      <c r="I27" s="17">
        <f t="shared" si="2"/>
        <v>798442671.60248482</v>
      </c>
    </row>
    <row r="28" spans="1:9">
      <c r="A28" s="8">
        <f t="shared" si="1"/>
        <v>25</v>
      </c>
      <c r="B28" s="15">
        <f>752955040/1000</f>
        <v>752955.04</v>
      </c>
      <c r="C28" s="16">
        <f t="shared" si="3"/>
        <v>209154177.77777776</v>
      </c>
      <c r="D28" s="3" t="s">
        <v>14</v>
      </c>
      <c r="E28" s="15">
        <v>3327044.9350000001</v>
      </c>
      <c r="F28" s="16">
        <f>(E28/3.6)*1000</f>
        <v>924179148.61111104</v>
      </c>
      <c r="G28" s="3" t="s">
        <v>14</v>
      </c>
      <c r="H28" s="15">
        <v>2111386.3986949222</v>
      </c>
      <c r="I28" s="17">
        <f t="shared" si="2"/>
        <v>586496221.85970068</v>
      </c>
    </row>
    <row r="29" spans="1:9">
      <c r="A29" s="18">
        <f t="shared" si="1"/>
        <v>26</v>
      </c>
      <c r="B29" s="15">
        <f>506652730/1000</f>
        <v>506652.73</v>
      </c>
      <c r="C29" s="16">
        <f t="shared" si="3"/>
        <v>140736869.44444442</v>
      </c>
      <c r="D29" s="3" t="s">
        <v>14</v>
      </c>
      <c r="E29" s="27"/>
      <c r="F29" s="16"/>
      <c r="G29" s="3"/>
      <c r="H29" s="15">
        <v>2889587.572230957</v>
      </c>
      <c r="I29" s="17">
        <f t="shared" si="2"/>
        <v>802663214.50859916</v>
      </c>
    </row>
    <row r="30" spans="1:9">
      <c r="A30" s="18">
        <f t="shared" si="1"/>
        <v>27</v>
      </c>
      <c r="B30" s="15">
        <f>368292835/1000</f>
        <v>368292.83500000002</v>
      </c>
      <c r="C30" s="16">
        <f t="shared" si="3"/>
        <v>102303565.27777779</v>
      </c>
      <c r="D30" s="3" t="s">
        <v>14</v>
      </c>
      <c r="E30" s="15"/>
      <c r="F30" s="16"/>
      <c r="G30" s="3"/>
      <c r="H30" s="15">
        <v>4185570.1222400395</v>
      </c>
      <c r="I30" s="17">
        <f t="shared" si="2"/>
        <v>1162658367.2888999</v>
      </c>
    </row>
    <row r="31" spans="1:9">
      <c r="A31" s="8">
        <f t="shared" si="1"/>
        <v>28</v>
      </c>
      <c r="B31" s="15">
        <f>609943294/1000</f>
        <v>609943.29399999999</v>
      </c>
      <c r="C31" s="16">
        <f t="shared" si="3"/>
        <v>169428692.77777776</v>
      </c>
      <c r="D31" s="3" t="s">
        <v>14</v>
      </c>
      <c r="E31" s="15"/>
      <c r="F31" s="16"/>
      <c r="G31" s="3"/>
      <c r="H31" s="15">
        <v>3812764.6</v>
      </c>
      <c r="I31" s="17">
        <f t="shared" si="2"/>
        <v>1059101277.7777778</v>
      </c>
    </row>
    <row r="32" spans="1:9">
      <c r="A32" s="14">
        <f t="shared" si="1"/>
        <v>29</v>
      </c>
      <c r="B32" s="15">
        <f>451190354/1000</f>
        <v>451190.35399999999</v>
      </c>
      <c r="C32" s="16">
        <f t="shared" si="3"/>
        <v>125330653.8888889</v>
      </c>
      <c r="D32" s="3" t="s">
        <v>14</v>
      </c>
      <c r="E32" s="15"/>
      <c r="F32" s="16"/>
      <c r="G32" s="3"/>
      <c r="H32" s="15">
        <v>3192840.3000000003</v>
      </c>
      <c r="I32" s="17">
        <f t="shared" si="2"/>
        <v>886900083.33333337</v>
      </c>
    </row>
    <row r="33" spans="1:10">
      <c r="A33" s="8">
        <f t="shared" si="1"/>
        <v>30</v>
      </c>
      <c r="B33" s="15">
        <f>566901814/1000</f>
        <v>566901.81400000001</v>
      </c>
      <c r="C33" s="16">
        <f t="shared" si="3"/>
        <v>157472726.1111111</v>
      </c>
      <c r="D33" s="3" t="s">
        <v>14</v>
      </c>
      <c r="E33" s="15"/>
      <c r="F33" s="16"/>
      <c r="G33" s="3"/>
      <c r="H33" s="15">
        <v>2739942.3495877935</v>
      </c>
      <c r="I33" s="17">
        <f t="shared" si="2"/>
        <v>761095097.10772049</v>
      </c>
    </row>
    <row r="34" spans="1:10">
      <c r="A34" s="51"/>
      <c r="B34" s="25"/>
      <c r="C34" s="25"/>
      <c r="D34" s="26"/>
      <c r="E34" s="25"/>
      <c r="F34" s="25"/>
      <c r="G34" s="26"/>
      <c r="H34" s="25"/>
      <c r="I34" s="25"/>
    </row>
    <row r="35" spans="1:10" ht="21.6" customHeight="1">
      <c r="A35" s="7" t="s">
        <v>3</v>
      </c>
      <c r="B35" s="163" t="s">
        <v>17</v>
      </c>
      <c r="C35" s="163"/>
      <c r="D35" s="163"/>
      <c r="E35" s="164"/>
      <c r="F35" s="164"/>
      <c r="G35" s="164"/>
      <c r="H35" s="164"/>
      <c r="I35" s="73"/>
      <c r="J35" s="73"/>
    </row>
    <row r="36" spans="1:10" ht="21.6" customHeight="1">
      <c r="A36" s="7" t="s">
        <v>4</v>
      </c>
      <c r="B36" s="165" t="s">
        <v>13</v>
      </c>
      <c r="C36" s="165"/>
      <c r="D36" s="165"/>
      <c r="E36" s="165"/>
      <c r="F36" s="165"/>
      <c r="G36" s="165"/>
      <c r="H36" s="165"/>
      <c r="I36" s="70"/>
      <c r="J36" s="73"/>
    </row>
    <row r="37" spans="1:10" ht="21.6" customHeight="1">
      <c r="A37" s="7" t="s">
        <v>5</v>
      </c>
      <c r="B37" s="165" t="s">
        <v>18</v>
      </c>
      <c r="C37" s="165"/>
      <c r="D37" s="165"/>
      <c r="E37" s="166"/>
      <c r="F37" s="166"/>
      <c r="G37" s="166"/>
      <c r="H37" s="166"/>
      <c r="I37" s="71"/>
      <c r="J37" s="71"/>
    </row>
    <row r="38" spans="1:10" ht="21.6" customHeight="1">
      <c r="A38" s="7" t="s">
        <v>6</v>
      </c>
      <c r="B38" s="165" t="s">
        <v>0</v>
      </c>
      <c r="C38" s="165"/>
      <c r="D38" s="165"/>
      <c r="E38" s="165"/>
      <c r="F38" s="165"/>
      <c r="G38" s="165"/>
      <c r="H38" s="165"/>
      <c r="I38" s="70"/>
      <c r="J38" s="71"/>
    </row>
    <row r="39" spans="1:10" ht="21.6" customHeight="1">
      <c r="A39" s="7" t="s">
        <v>7</v>
      </c>
      <c r="B39" s="165" t="s">
        <v>16</v>
      </c>
      <c r="C39" s="165"/>
      <c r="D39" s="165"/>
      <c r="E39" s="166"/>
      <c r="F39" s="166"/>
      <c r="G39" s="166"/>
      <c r="H39" s="166"/>
      <c r="I39" s="71"/>
      <c r="J39" s="4"/>
    </row>
    <row r="40" spans="1:10" ht="21.6" customHeight="1">
      <c r="A40" s="28" t="s">
        <v>19</v>
      </c>
      <c r="B40" s="149" t="s">
        <v>20</v>
      </c>
      <c r="C40" s="150"/>
      <c r="D40" s="150"/>
      <c r="E40" s="150"/>
      <c r="F40" s="150"/>
      <c r="G40" s="150"/>
      <c r="H40" s="150"/>
      <c r="I40" s="72"/>
      <c r="J40" s="6"/>
    </row>
    <row r="41" spans="1:10" ht="21.6" customHeight="1">
      <c r="A41" s="1"/>
      <c r="B41" s="1"/>
      <c r="C41" s="1"/>
      <c r="D41" s="1"/>
      <c r="E41" s="1"/>
      <c r="F41" s="1"/>
      <c r="G41" s="1"/>
      <c r="H41" s="1"/>
      <c r="I41" s="1"/>
    </row>
    <row r="42" spans="1:10" ht="21.6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10" ht="21.6" customHeight="1">
      <c r="A43" s="1"/>
      <c r="B43" s="1"/>
      <c r="C43" s="1"/>
      <c r="D43" s="1"/>
      <c r="E43" s="1"/>
      <c r="F43" s="1"/>
      <c r="G43" s="1"/>
      <c r="H43" s="1"/>
      <c r="I43" s="1"/>
    </row>
  </sheetData>
  <mergeCells count="13">
    <mergeCell ref="B40:H40"/>
    <mergeCell ref="A1:I1"/>
    <mergeCell ref="A2:A3"/>
    <mergeCell ref="B2:C2"/>
    <mergeCell ref="D2:D3"/>
    <mergeCell ref="E2:F2"/>
    <mergeCell ref="G2:G3"/>
    <mergeCell ref="H2:I2"/>
    <mergeCell ref="B35:H35"/>
    <mergeCell ref="B36:H36"/>
    <mergeCell ref="B37:H37"/>
    <mergeCell ref="B38:H38"/>
    <mergeCell ref="B39:H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January 2015</vt:lpstr>
      <vt:lpstr>February 2015</vt:lpstr>
      <vt:lpstr>March 2015</vt:lpstr>
      <vt:lpstr>April 2015</vt:lpstr>
      <vt:lpstr>May 2015</vt:lpstr>
      <vt:lpstr>June 15</vt:lpstr>
      <vt:lpstr>July 15</vt:lpstr>
      <vt:lpstr>August 15</vt:lpstr>
      <vt:lpstr>September 15</vt:lpstr>
      <vt:lpstr>October 15</vt:lpstr>
      <vt:lpstr>November 15</vt:lpstr>
      <vt:lpstr>December 15</vt:lpstr>
      <vt:lpstr>January 2016</vt:lpstr>
      <vt:lpstr>February 2016</vt:lpstr>
      <vt:lpstr>March 2016</vt:lpstr>
      <vt:lpstr>April 2016</vt:lpstr>
      <vt:lpstr>May 2016</vt:lpstr>
      <vt:lpstr>June 2016</vt:lpstr>
      <vt:lpstr>July 2016</vt:lpstr>
      <vt:lpstr>August 2016</vt:lpstr>
      <vt:lpstr>September 2016</vt:lpstr>
      <vt:lpstr>October 2016</vt:lpstr>
      <vt:lpstr>November 2016</vt:lpstr>
      <vt:lpstr>December 2016</vt:lpstr>
      <vt:lpstr>January 2017</vt:lpstr>
      <vt:lpstr>February 2017</vt:lpstr>
      <vt:lpstr>March 2017</vt:lpstr>
      <vt:lpstr>April 2017</vt:lpstr>
      <vt:lpstr>May 2017</vt:lpstr>
      <vt:lpstr>June 2017</vt:lpstr>
      <vt:lpstr>July 2017</vt:lpstr>
    </vt:vector>
  </TitlesOfParts>
  <Company>Snam Rete Gas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Snam Rete Gas S.p.A.</dc:creator>
  <cp:lastModifiedBy>Disingrini Daniele</cp:lastModifiedBy>
  <cp:lastPrinted>2012-11-16T08:49:03Z</cp:lastPrinted>
  <dcterms:created xsi:type="dcterms:W3CDTF">2011-02-24T12:51:50Z</dcterms:created>
  <dcterms:modified xsi:type="dcterms:W3CDTF">2017-07-06T08:41:01Z</dcterms:modified>
</cp:coreProperties>
</file>