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pirotta\Desktop\maarja\"/>
    </mc:Choice>
  </mc:AlternateContent>
  <bookViews>
    <workbookView xWindow="0" yWindow="0" windowWidth="28800" windowHeight="11700"/>
  </bookViews>
  <sheets>
    <sheet name="Tariff 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I32" i="1" s="1"/>
  <c r="F31" i="1"/>
  <c r="J28" i="1"/>
  <c r="F28" i="1"/>
  <c r="I28" i="1" s="1"/>
  <c r="H23" i="1"/>
  <c r="F23" i="1"/>
  <c r="K23" i="1" s="1"/>
  <c r="J20" i="1"/>
  <c r="F20" i="1"/>
  <c r="I20" i="1" s="1"/>
  <c r="F19" i="1"/>
  <c r="J19" i="1" s="1"/>
  <c r="D14" i="1"/>
  <c r="E14" i="1" s="1"/>
  <c r="F14" i="1" s="1"/>
  <c r="F13" i="1"/>
  <c r="I23" i="1" s="1"/>
  <c r="E13" i="1"/>
  <c r="D13" i="1"/>
  <c r="F34" i="1" s="1"/>
  <c r="J32" i="1" l="1"/>
  <c r="K19" i="1"/>
  <c r="K32" i="1"/>
  <c r="I19" i="1"/>
  <c r="H20" i="1"/>
  <c r="F21" i="1"/>
  <c r="J23" i="1"/>
  <c r="H28" i="1"/>
  <c r="F29" i="1"/>
  <c r="H32" i="1"/>
  <c r="F33" i="1"/>
  <c r="H19" i="1"/>
  <c r="K20" i="1"/>
  <c r="K28" i="1"/>
  <c r="F30" i="1"/>
  <c r="H29" i="1" l="1"/>
  <c r="J29" i="1"/>
  <c r="K29" i="1"/>
  <c r="F35" i="1"/>
  <c r="I29" i="1"/>
  <c r="H21" i="1"/>
  <c r="K21" i="1"/>
  <c r="J21" i="1"/>
  <c r="F25" i="1"/>
  <c r="I21" i="1"/>
  <c r="J35" i="1" l="1"/>
  <c r="H37" i="1"/>
  <c r="I35" i="1"/>
  <c r="H35" i="1"/>
  <c r="K35" i="1"/>
  <c r="J25" i="1"/>
  <c r="F38" i="1"/>
  <c r="I25" i="1"/>
  <c r="I38" i="1" s="1"/>
  <c r="H25" i="1"/>
  <c r="K25" i="1"/>
  <c r="F42" i="1"/>
  <c r="K38" i="1" l="1"/>
  <c r="J38" i="1"/>
  <c r="H38" i="1"/>
</calcChain>
</file>

<file path=xl/sharedStrings.xml><?xml version="1.0" encoding="utf-8"?>
<sst xmlns="http://schemas.openxmlformats.org/spreadsheetml/2006/main" count="57" uniqueCount="46">
  <si>
    <t>1 MWh =3,6 GJ</t>
  </si>
  <si>
    <t>€/mcliq -&gt; € /MWh divide by 6,7040</t>
  </si>
  <si>
    <t>ASSUNZIONI</t>
  </si>
  <si>
    <t>Rapporto liquido/gas
Liquid to volume ratio</t>
  </si>
  <si>
    <t xml:space="preserve">% di autoconsumo ALNG  
U&amp;L % ALNG
</t>
  </si>
  <si>
    <t xml:space="preserve">% di autoconsumo SNAM 
U&amp;L% SNAM
</t>
  </si>
  <si>
    <t>PCS (MJ/Smc)
GHV (MJ/Smc)</t>
  </si>
  <si>
    <t>Quantità
Quantity</t>
  </si>
  <si>
    <t>metri cubi liquidi (mcliq)</t>
  </si>
  <si>
    <t>metri cubi di gas (Smc)</t>
  </si>
  <si>
    <t>Energia Energy (GJ)</t>
  </si>
  <si>
    <t>Energia Energy (MWh)</t>
  </si>
  <si>
    <t>CALCOLO</t>
  </si>
  <si>
    <t>Tariffa/Tariff</t>
  </si>
  <si>
    <t>UOM</t>
  </si>
  <si>
    <t>EURO (€)</t>
  </si>
  <si>
    <t>€ /GJ</t>
  </si>
  <si>
    <t>€ /MWh</t>
  </si>
  <si>
    <t>c€/m3</t>
  </si>
  <si>
    <t>c€/Mwh</t>
  </si>
  <si>
    <t>Costi di rigassificazione/Regasification costs (a)</t>
  </si>
  <si>
    <t>Cqs</t>
  </si>
  <si>
    <t>€/mcliq</t>
  </si>
  <si>
    <t>CMr</t>
  </si>
  <si>
    <t>Costi per i servizi marittimi/Maritime Services (b)</t>
  </si>
  <si>
    <t>€/approdo</t>
  </si>
  <si>
    <t>Costo Totale (a+b) / Total (a+b)</t>
  </si>
  <si>
    <t>Costi di trasporto rete nazionale/National Grid costs (c)</t>
  </si>
  <si>
    <t>GCC</t>
  </si>
  <si>
    <t>Cpe</t>
  </si>
  <si>
    <t>€/anno/Smc/g</t>
  </si>
  <si>
    <t xml:space="preserve">VTC </t>
  </si>
  <si>
    <t>CV</t>
  </si>
  <si>
    <t>€/Smc</t>
  </si>
  <si>
    <t>Cvi</t>
  </si>
  <si>
    <t>Cvos</t>
  </si>
  <si>
    <t>Cvfg</t>
  </si>
  <si>
    <t>Cvbl</t>
  </si>
  <si>
    <t>φ</t>
  </si>
  <si>
    <t>con corrispettivi addizionali era</t>
  </si>
  <si>
    <t>Total Cost (a+b+c)</t>
  </si>
  <si>
    <t>BANK GUARANTEE SENSITIVITIES</t>
  </si>
  <si>
    <t>Bank Guarantee with 
1 or 2 subscribed TPA slots</t>
  </si>
  <si>
    <t xml:space="preserve">[ (Cqs + CMr) X SC ] + GCC + VTC </t>
  </si>
  <si>
    <t>number of subscribed TPA slots</t>
  </si>
  <si>
    <t>Bank Guarantee with 
&gt; = 3 subscribed TPA slots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</si>
</sst>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000%"/>
    <numFmt numFmtId="165" formatCode="#,##0.000"/>
    <numFmt numFmtId="166" formatCode="#,##0.000000"/>
    <numFmt numFmtId="167" formatCode="#,##0.0000"/>
    <numFmt numFmtId="168" formatCode="0.000000"/>
  </numFmts>
  <fonts count="18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i/>
      <sz val="9"/>
      <color theme="0"/>
      <name val="Calibri"/>
      <family val="2"/>
    </font>
    <font>
      <sz val="11"/>
      <color theme="0"/>
      <name val="Calibri"/>
      <family val="2"/>
    </font>
    <font>
      <b/>
      <i/>
      <sz val="8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i/>
      <sz val="9"/>
      <color indexed="8"/>
      <name val="Calibri"/>
      <family val="2"/>
    </font>
    <font>
      <i/>
      <sz val="8"/>
      <color indexed="8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color theme="1" tint="0.499984740745262"/>
      <name val="Calibri"/>
      <family val="2"/>
    </font>
    <font>
      <sz val="10"/>
      <color theme="1" tint="0.499984740745262"/>
      <name val="Calibri"/>
      <family val="2"/>
    </font>
    <font>
      <sz val="10"/>
      <color theme="0"/>
      <name val="Calibri"/>
      <family val="2"/>
    </font>
    <font>
      <sz val="11"/>
      <color rgb="FFFF0000"/>
      <name val="Calibri"/>
      <family val="2"/>
    </font>
    <font>
      <sz val="11"/>
      <color theme="0" tint="-0.34998626667073579"/>
      <name val="Calibri"/>
      <family val="2"/>
    </font>
    <font>
      <sz val="11"/>
      <color theme="0" tint="-0.249977111117893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0" fillId="2" borderId="0" xfId="0" applyFill="1"/>
    <xf numFmtId="0" fontId="0" fillId="0" borderId="0" xfId="0" applyFill="1"/>
    <xf numFmtId="0" fontId="2" fillId="2" borderId="0" xfId="0" applyFont="1" applyFill="1" applyBorder="1"/>
    <xf numFmtId="0" fontId="3" fillId="2" borderId="0" xfId="0" applyFont="1" applyFill="1"/>
    <xf numFmtId="0" fontId="3" fillId="0" borderId="0" xfId="0" applyFont="1" applyFill="1"/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/>
    <xf numFmtId="0" fontId="5" fillId="2" borderId="1" xfId="0" applyFont="1" applyFill="1" applyBorder="1"/>
    <xf numFmtId="0" fontId="6" fillId="2" borderId="1" xfId="0" applyFont="1" applyFill="1" applyBorder="1"/>
    <xf numFmtId="0" fontId="0" fillId="2" borderId="1" xfId="0" applyFill="1" applyBorder="1"/>
    <xf numFmtId="0" fontId="7" fillId="2" borderId="1" xfId="0" applyFont="1" applyFill="1" applyBorder="1"/>
    <xf numFmtId="0" fontId="0" fillId="2" borderId="0" xfId="0" applyFill="1" applyBorder="1"/>
    <xf numFmtId="0" fontId="5" fillId="2" borderId="0" xfId="0" applyFont="1" applyFill="1" applyBorder="1"/>
    <xf numFmtId="0" fontId="5" fillId="2" borderId="2" xfId="0" applyFont="1" applyFill="1" applyBorder="1" applyAlignment="1">
      <alignment horizontal="left" vertical="center" wrapText="1"/>
    </xf>
    <xf numFmtId="0" fontId="8" fillId="2" borderId="0" xfId="0" applyFont="1" applyFill="1"/>
    <xf numFmtId="0" fontId="9" fillId="2" borderId="3" xfId="0" applyFont="1" applyFill="1" applyBorder="1" applyAlignment="1">
      <alignment horizontal="left"/>
    </xf>
    <xf numFmtId="10" fontId="10" fillId="2" borderId="4" xfId="0" applyNumberFormat="1" applyFont="1" applyFill="1" applyBorder="1" applyAlignment="1">
      <alignment horizontal="left"/>
    </xf>
    <xf numFmtId="164" fontId="9" fillId="2" borderId="3" xfId="1" applyNumberFormat="1" applyFont="1" applyFill="1" applyBorder="1" applyAlignment="1">
      <alignment horizontal="left"/>
    </xf>
    <xf numFmtId="165" fontId="9" fillId="2" borderId="3" xfId="0" applyNumberFormat="1" applyFont="1" applyFill="1" applyBorder="1" applyAlignment="1">
      <alignment horizontal="left"/>
    </xf>
    <xf numFmtId="164" fontId="0" fillId="2" borderId="0" xfId="0" applyNumberFormat="1" applyFill="1"/>
    <xf numFmtId="0" fontId="5" fillId="2" borderId="6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165" fontId="9" fillId="2" borderId="0" xfId="0" applyNumberFormat="1" applyFont="1" applyFill="1" applyBorder="1" applyAlignment="1">
      <alignment horizontal="left"/>
    </xf>
    <xf numFmtId="166" fontId="9" fillId="2" borderId="0" xfId="0" applyNumberFormat="1" applyFont="1" applyFill="1" applyBorder="1" applyAlignment="1">
      <alignment horizontal="left"/>
    </xf>
    <xf numFmtId="0" fontId="5" fillId="0" borderId="0" xfId="0" applyFont="1" applyFill="1"/>
    <xf numFmtId="3" fontId="9" fillId="2" borderId="6" xfId="0" applyNumberFormat="1" applyFont="1" applyFill="1" applyBorder="1" applyAlignment="1">
      <alignment horizontal="left"/>
    </xf>
    <xf numFmtId="3" fontId="9" fillId="2" borderId="2" xfId="0" applyNumberFormat="1" applyFont="1" applyFill="1" applyBorder="1" applyAlignment="1">
      <alignment horizontal="left"/>
    </xf>
    <xf numFmtId="3" fontId="9" fillId="2" borderId="7" xfId="0" applyNumberFormat="1" applyFont="1" applyFill="1" applyBorder="1" applyAlignment="1">
      <alignment horizontal="left"/>
    </xf>
    <xf numFmtId="3" fontId="9" fillId="2" borderId="0" xfId="0" applyNumberFormat="1" applyFont="1" applyFill="1" applyBorder="1" applyAlignment="1">
      <alignment horizontal="left"/>
    </xf>
    <xf numFmtId="4" fontId="9" fillId="2" borderId="0" xfId="0" applyNumberFormat="1" applyFont="1" applyFill="1"/>
    <xf numFmtId="0" fontId="11" fillId="0" borderId="0" xfId="0" applyFont="1" applyFill="1"/>
    <xf numFmtId="0" fontId="12" fillId="2" borderId="0" xfId="0" applyFont="1" applyFill="1"/>
    <xf numFmtId="3" fontId="12" fillId="2" borderId="0" xfId="0" applyNumberFormat="1" applyFont="1" applyFill="1" applyAlignment="1">
      <alignment horizontal="left"/>
    </xf>
    <xf numFmtId="3" fontId="13" fillId="2" borderId="0" xfId="0" applyNumberFormat="1" applyFont="1" applyFill="1" applyAlignment="1">
      <alignment horizontal="left"/>
    </xf>
    <xf numFmtId="0" fontId="13" fillId="2" borderId="0" xfId="0" applyFont="1" applyFill="1" applyAlignment="1">
      <alignment horizontal="left"/>
    </xf>
    <xf numFmtId="165" fontId="13" fillId="2" borderId="0" xfId="0" applyNumberFormat="1" applyFont="1" applyFill="1" applyAlignment="1">
      <alignment horizontal="left"/>
    </xf>
    <xf numFmtId="167" fontId="13" fillId="2" borderId="0" xfId="0" applyNumberFormat="1" applyFont="1" applyFill="1" applyAlignment="1">
      <alignment horizontal="left"/>
    </xf>
    <xf numFmtId="167" fontId="12" fillId="2" borderId="0" xfId="0" applyNumberFormat="1" applyFont="1" applyFill="1" applyAlignment="1">
      <alignment horizontal="left"/>
    </xf>
    <xf numFmtId="4" fontId="12" fillId="2" borderId="0" xfId="0" applyNumberFormat="1" applyFont="1" applyFill="1"/>
    <xf numFmtId="3" fontId="5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3" fontId="9" fillId="2" borderId="1" xfId="0" applyNumberFormat="1" applyFont="1" applyFill="1" applyBorder="1" applyAlignment="1">
      <alignment horizontal="left"/>
    </xf>
    <xf numFmtId="165" fontId="9" fillId="2" borderId="1" xfId="0" applyNumberFormat="1" applyFont="1" applyFill="1" applyBorder="1" applyAlignment="1">
      <alignment horizontal="left"/>
    </xf>
    <xf numFmtId="3" fontId="9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left"/>
    </xf>
    <xf numFmtId="165" fontId="9" fillId="2" borderId="0" xfId="0" applyNumberFormat="1" applyFont="1" applyFill="1" applyAlignment="1">
      <alignment horizontal="left"/>
    </xf>
    <xf numFmtId="0" fontId="9" fillId="2" borderId="0" xfId="0" applyFont="1" applyFill="1"/>
    <xf numFmtId="0" fontId="9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9" fillId="0" borderId="0" xfId="0" applyFont="1" applyFill="1"/>
    <xf numFmtId="0" fontId="5" fillId="2" borderId="8" xfId="0" applyFont="1" applyFill="1" applyBorder="1" applyAlignment="1">
      <alignment horizontal="left"/>
    </xf>
    <xf numFmtId="0" fontId="9" fillId="2" borderId="8" xfId="0" applyFont="1" applyFill="1" applyBorder="1"/>
    <xf numFmtId="166" fontId="10" fillId="2" borderId="0" xfId="0" applyNumberFormat="1" applyFont="1" applyFill="1"/>
    <xf numFmtId="168" fontId="9" fillId="2" borderId="0" xfId="0" applyNumberFormat="1" applyFont="1" applyFill="1"/>
    <xf numFmtId="168" fontId="10" fillId="2" borderId="0" xfId="0" applyNumberFormat="1" applyFont="1" applyFill="1"/>
    <xf numFmtId="4" fontId="9" fillId="2" borderId="8" xfId="0" applyNumberFormat="1" applyFont="1" applyFill="1" applyBorder="1"/>
    <xf numFmtId="4" fontId="9" fillId="2" borderId="0" xfId="0" applyNumberFormat="1" applyFont="1" applyFill="1" applyBorder="1"/>
    <xf numFmtId="168" fontId="9" fillId="2" borderId="8" xfId="0" applyNumberFormat="1" applyFont="1" applyFill="1" applyBorder="1"/>
    <xf numFmtId="166" fontId="9" fillId="2" borderId="0" xfId="0" applyNumberFormat="1" applyFont="1" applyFill="1"/>
    <xf numFmtId="4" fontId="5" fillId="2" borderId="0" xfId="0" applyNumberFormat="1" applyFont="1" applyFill="1"/>
    <xf numFmtId="168" fontId="5" fillId="2" borderId="0" xfId="0" applyNumberFormat="1" applyFont="1" applyFill="1"/>
    <xf numFmtId="2" fontId="5" fillId="2" borderId="0" xfId="0" applyNumberFormat="1" applyFont="1" applyFill="1"/>
    <xf numFmtId="0" fontId="0" fillId="2" borderId="8" xfId="0" applyFill="1" applyBorder="1"/>
    <xf numFmtId="4" fontId="0" fillId="2" borderId="0" xfId="0" applyNumberFormat="1" applyFill="1"/>
    <xf numFmtId="168" fontId="0" fillId="2" borderId="0" xfId="0" applyNumberFormat="1" applyFill="1"/>
    <xf numFmtId="4" fontId="5" fillId="2" borderId="0" xfId="0" applyNumberFormat="1" applyFont="1" applyFill="1" applyBorder="1"/>
    <xf numFmtId="4" fontId="0" fillId="2" borderId="0" xfId="0" applyNumberFormat="1" applyFill="1" applyBorder="1"/>
    <xf numFmtId="4" fontId="6" fillId="2" borderId="0" xfId="0" applyNumberFormat="1" applyFont="1" applyFill="1" applyBorder="1"/>
    <xf numFmtId="168" fontId="0" fillId="2" borderId="0" xfId="0" applyNumberFormat="1" applyFill="1" applyBorder="1"/>
    <xf numFmtId="0" fontId="9" fillId="2" borderId="1" xfId="0" applyFont="1" applyFill="1" applyBorder="1"/>
    <xf numFmtId="4" fontId="6" fillId="2" borderId="1" xfId="0" applyNumberFormat="1" applyFont="1" applyFill="1" applyBorder="1"/>
    <xf numFmtId="168" fontId="5" fillId="2" borderId="1" xfId="0" applyNumberFormat="1" applyFont="1" applyFill="1" applyBorder="1"/>
    <xf numFmtId="2" fontId="5" fillId="2" borderId="0" xfId="0" applyNumberFormat="1" applyFont="1" applyFill="1" applyBorder="1"/>
    <xf numFmtId="4" fontId="14" fillId="0" borderId="0" xfId="0" applyNumberFormat="1" applyFont="1" applyFill="1" applyBorder="1"/>
    <xf numFmtId="0" fontId="5" fillId="2" borderId="0" xfId="0" applyFont="1" applyFill="1"/>
    <xf numFmtId="4" fontId="6" fillId="2" borderId="0" xfId="0" applyNumberFormat="1" applyFont="1" applyFill="1"/>
    <xf numFmtId="166" fontId="9" fillId="2" borderId="8" xfId="0" applyNumberFormat="1" applyFont="1" applyFill="1" applyBorder="1"/>
    <xf numFmtId="166" fontId="3" fillId="2" borderId="0" xfId="0" applyNumberFormat="1" applyFont="1" applyFill="1"/>
    <xf numFmtId="4" fontId="3" fillId="2" borderId="0" xfId="0" applyNumberFormat="1" applyFont="1" applyFill="1" applyBorder="1"/>
    <xf numFmtId="168" fontId="3" fillId="2" borderId="0" xfId="0" applyNumberFormat="1" applyFont="1" applyFill="1"/>
    <xf numFmtId="168" fontId="15" fillId="2" borderId="0" xfId="0" applyNumberFormat="1" applyFont="1" applyFill="1"/>
    <xf numFmtId="4" fontId="15" fillId="2" borderId="0" xfId="0" applyNumberFormat="1" applyFont="1" applyFill="1" applyBorder="1"/>
    <xf numFmtId="0" fontId="9" fillId="2" borderId="0" xfId="0" applyFont="1" applyFill="1" applyAlignment="1">
      <alignment horizontal="left" vertical="center"/>
    </xf>
    <xf numFmtId="4" fontId="3" fillId="2" borderId="8" xfId="0" applyNumberFormat="1" applyFont="1" applyFill="1" applyBorder="1"/>
    <xf numFmtId="4" fontId="16" fillId="2" borderId="0" xfId="0" applyNumberFormat="1" applyFont="1" applyFill="1" applyBorder="1"/>
    <xf numFmtId="168" fontId="16" fillId="2" borderId="8" xfId="0" applyNumberFormat="1" applyFont="1" applyFill="1" applyBorder="1"/>
    <xf numFmtId="0" fontId="17" fillId="2" borderId="0" xfId="0" applyFont="1" applyFill="1" applyAlignment="1">
      <alignment horizontal="right"/>
    </xf>
    <xf numFmtId="0" fontId="0" fillId="2" borderId="0" xfId="0" applyFont="1" applyFill="1"/>
    <xf numFmtId="4" fontId="0" fillId="2" borderId="0" xfId="0" applyNumberFormat="1" applyFont="1" applyFill="1"/>
    <xf numFmtId="0" fontId="0" fillId="0" borderId="0" xfId="0" applyFont="1" applyFill="1"/>
    <xf numFmtId="0" fontId="6" fillId="2" borderId="0" xfId="0" applyFont="1" applyFill="1"/>
    <xf numFmtId="0" fontId="9" fillId="2" borderId="8" xfId="0" applyFont="1" applyFill="1" applyBorder="1" applyAlignment="1"/>
    <xf numFmtId="4" fontId="5" fillId="2" borderId="0" xfId="0" applyNumberFormat="1" applyFont="1" applyFill="1" applyAlignment="1">
      <alignment horizontal="right" vertical="center"/>
    </xf>
    <xf numFmtId="0" fontId="9" fillId="2" borderId="9" xfId="0" applyFont="1" applyFill="1" applyBorder="1" applyAlignment="1"/>
    <xf numFmtId="4" fontId="5" fillId="0" borderId="0" xfId="0" applyNumberFormat="1" applyFont="1" applyFill="1" applyBorder="1"/>
    <xf numFmtId="0" fontId="0" fillId="2" borderId="0" xfId="0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/>
    </xf>
    <xf numFmtId="4" fontId="5" fillId="2" borderId="0" xfId="0" applyNumberFormat="1" applyFont="1" applyFill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118533</xdr:rowOff>
    </xdr:from>
    <xdr:to>
      <xdr:col>2</xdr:col>
      <xdr:colOff>495300</xdr:colOff>
      <xdr:row>4</xdr:row>
      <xdr:rowOff>63500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7" y="118533"/>
          <a:ext cx="2150533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893233</xdr:colOff>
      <xdr:row>0</xdr:row>
      <xdr:rowOff>173567</xdr:rowOff>
    </xdr:from>
    <xdr:to>
      <xdr:col>7</xdr:col>
      <xdr:colOff>215900</xdr:colOff>
      <xdr:row>3</xdr:row>
      <xdr:rowOff>101600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1133" y="173567"/>
          <a:ext cx="3251200" cy="47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zoomScale="110" zoomScaleNormal="110" workbookViewId="0">
      <selection activeCell="C11" sqref="C11"/>
    </sheetView>
  </sheetViews>
  <sheetFormatPr defaultColWidth="8.85546875" defaultRowHeight="15" x14ac:dyDescent="0.25"/>
  <cols>
    <col min="1" max="1" width="2.5703125" style="2" customWidth="1"/>
    <col min="2" max="2" width="23" style="2" customWidth="1"/>
    <col min="3" max="3" width="23.28515625" style="2" customWidth="1"/>
    <col min="4" max="4" width="24.5703125" style="2" customWidth="1"/>
    <col min="5" max="5" width="13.28515625" style="2" customWidth="1"/>
    <col min="6" max="6" width="12.5703125" style="2" customWidth="1"/>
    <col min="7" max="7" width="4.140625" style="2" customWidth="1"/>
    <col min="8" max="8" width="10.7109375" style="2" bestFit="1" customWidth="1"/>
    <col min="9" max="9" width="12" style="2" customWidth="1"/>
    <col min="10" max="10" width="11.5703125" style="2" hidden="1" customWidth="1"/>
    <col min="11" max="11" width="18.85546875" style="2" hidden="1" customWidth="1"/>
    <col min="12" max="12" width="11.140625" style="2" customWidth="1"/>
    <col min="13" max="13" width="21.140625" style="2" bestFit="1" customWidth="1"/>
    <col min="14" max="16384" width="8.8554687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5" x14ac:dyDescent="0.25">
      <c r="A4" s="1"/>
      <c r="B4" s="1"/>
      <c r="C4" s="1"/>
      <c r="D4" s="1"/>
      <c r="E4" s="1"/>
      <c r="F4" s="1"/>
      <c r="G4" s="1"/>
      <c r="H4" s="1"/>
      <c r="I4" s="3" t="s">
        <v>0</v>
      </c>
      <c r="J4" s="4"/>
      <c r="K4" s="4"/>
      <c r="L4" s="4"/>
      <c r="M4" s="5"/>
    </row>
    <row r="5" spans="1:15" x14ac:dyDescent="0.25">
      <c r="A5" s="1"/>
      <c r="B5" s="1"/>
      <c r="C5" s="1"/>
      <c r="D5" s="1"/>
      <c r="E5" s="1"/>
      <c r="F5" s="1"/>
      <c r="G5" s="1"/>
      <c r="H5" s="1"/>
      <c r="I5" s="6" t="s">
        <v>1</v>
      </c>
      <c r="J5" s="4"/>
      <c r="K5" s="4"/>
      <c r="L5" s="4"/>
      <c r="M5" s="5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7"/>
      <c r="K6" s="1"/>
      <c r="L6" s="1"/>
    </row>
    <row r="7" spans="1:15" ht="15.75" thickBot="1" x14ac:dyDescent="0.3">
      <c r="A7" s="1"/>
      <c r="B7" s="8" t="s">
        <v>2</v>
      </c>
      <c r="C7" s="9">
        <v>2019</v>
      </c>
      <c r="D7" s="10"/>
      <c r="E7" s="10"/>
      <c r="F7" s="10"/>
      <c r="G7" s="10"/>
      <c r="H7" s="10"/>
      <c r="I7" s="10"/>
      <c r="J7" s="11"/>
      <c r="K7" s="10"/>
      <c r="L7" s="12"/>
    </row>
    <row r="8" spans="1:15" x14ac:dyDescent="0.25">
      <c r="A8" s="1"/>
      <c r="B8" s="13"/>
      <c r="C8" s="12"/>
      <c r="D8" s="12"/>
      <c r="E8" s="12"/>
      <c r="F8" s="12"/>
      <c r="G8" s="12"/>
      <c r="H8" s="1"/>
      <c r="I8" s="1"/>
      <c r="J8" s="1"/>
      <c r="K8" s="1"/>
      <c r="L8" s="1"/>
    </row>
    <row r="9" spans="1:15" ht="45" x14ac:dyDescent="0.25">
      <c r="A9" s="1"/>
      <c r="B9" s="14" t="s">
        <v>3</v>
      </c>
      <c r="C9" s="14" t="s">
        <v>4</v>
      </c>
      <c r="D9" s="14" t="s">
        <v>5</v>
      </c>
      <c r="E9" s="14" t="s">
        <v>6</v>
      </c>
      <c r="F9" s="1"/>
      <c r="G9" s="1"/>
      <c r="H9" s="1"/>
      <c r="I9" s="1"/>
      <c r="J9" s="1"/>
      <c r="K9" s="15"/>
      <c r="L9" s="1"/>
    </row>
    <row r="10" spans="1:15" x14ac:dyDescent="0.25">
      <c r="A10" s="1"/>
      <c r="B10" s="16">
        <v>611</v>
      </c>
      <c r="C10" s="17">
        <v>6.3E-3</v>
      </c>
      <c r="D10" s="18">
        <v>5.1117300000000001E-3</v>
      </c>
      <c r="E10" s="19">
        <v>39.5</v>
      </c>
      <c r="F10" s="1"/>
      <c r="G10" s="1"/>
      <c r="H10" s="1"/>
      <c r="I10" s="20"/>
      <c r="J10" s="1"/>
      <c r="K10" s="1"/>
      <c r="L10" s="1"/>
    </row>
    <row r="11" spans="1:15" x14ac:dyDescent="0.25">
      <c r="A11" s="1"/>
      <c r="B11" s="13"/>
      <c r="C11" s="12"/>
      <c r="D11" s="12"/>
      <c r="E11" s="12"/>
      <c r="F11" s="1"/>
      <c r="G11" s="1"/>
      <c r="H11" s="1"/>
      <c r="I11" s="1"/>
      <c r="J11" s="1"/>
      <c r="K11" s="1"/>
      <c r="L11" s="1"/>
    </row>
    <row r="12" spans="1:15" s="27" customFormat="1" ht="45" x14ac:dyDescent="0.25">
      <c r="A12" s="1"/>
      <c r="B12" s="100" t="s">
        <v>7</v>
      </c>
      <c r="C12" s="21" t="s">
        <v>8</v>
      </c>
      <c r="D12" s="22" t="s">
        <v>9</v>
      </c>
      <c r="E12" s="23" t="s">
        <v>10</v>
      </c>
      <c r="F12" s="23" t="s">
        <v>11</v>
      </c>
      <c r="G12" s="24"/>
      <c r="H12" s="25"/>
      <c r="I12" s="26"/>
      <c r="J12" s="1"/>
      <c r="K12" s="1"/>
      <c r="L12" s="1"/>
    </row>
    <row r="13" spans="1:15" s="27" customFormat="1" ht="28.5" customHeight="1" x14ac:dyDescent="0.25">
      <c r="A13" s="1"/>
      <c r="B13" s="101"/>
      <c r="C13" s="28">
        <v>140000</v>
      </c>
      <c r="D13" s="29">
        <f>+C13*B10</f>
        <v>85540000</v>
      </c>
      <c r="E13" s="30">
        <f>+D13/1000*E10</f>
        <v>3378830</v>
      </c>
      <c r="F13" s="30">
        <f>E13/3.6</f>
        <v>938563.88888888888</v>
      </c>
      <c r="G13" s="31"/>
      <c r="H13" s="1"/>
      <c r="I13" s="1"/>
      <c r="J13" s="32"/>
      <c r="K13" s="1"/>
      <c r="L13" s="1"/>
      <c r="O13" s="33"/>
    </row>
    <row r="14" spans="1:15" s="33" customFormat="1" x14ac:dyDescent="0.25">
      <c r="A14" s="34"/>
      <c r="B14" s="35"/>
      <c r="C14" s="36">
        <v>1</v>
      </c>
      <c r="D14" s="37">
        <f>+C14*B10</f>
        <v>611</v>
      </c>
      <c r="E14" s="38">
        <f>+D14/1000*E10</f>
        <v>24.134499999999999</v>
      </c>
      <c r="F14" s="39">
        <f>E14/3.6</f>
        <v>6.7040277777777773</v>
      </c>
      <c r="G14" s="40"/>
      <c r="H14" s="41"/>
      <c r="I14" s="41"/>
      <c r="J14" s="34"/>
      <c r="K14" s="34"/>
      <c r="L14" s="34"/>
      <c r="O14" s="27"/>
    </row>
    <row r="15" spans="1:15" s="27" customFormat="1" ht="31.5" customHeight="1" thickBot="1" x14ac:dyDescent="0.3">
      <c r="A15" s="1"/>
      <c r="B15" s="42" t="s">
        <v>12</v>
      </c>
      <c r="C15" s="43"/>
      <c r="D15" s="44"/>
      <c r="E15" s="45"/>
      <c r="F15" s="44"/>
      <c r="G15" s="44"/>
      <c r="H15" s="10"/>
      <c r="I15" s="10"/>
      <c r="J15" s="10"/>
      <c r="K15" s="10"/>
      <c r="L15" s="12"/>
    </row>
    <row r="16" spans="1:15" s="27" customFormat="1" x14ac:dyDescent="0.25">
      <c r="A16" s="1"/>
      <c r="B16" s="46"/>
      <c r="C16" s="47"/>
      <c r="D16" s="46"/>
      <c r="E16" s="48"/>
      <c r="F16" s="46"/>
      <c r="G16" s="46"/>
      <c r="H16" s="1"/>
      <c r="I16" s="1"/>
      <c r="J16" s="1"/>
      <c r="K16" s="1"/>
      <c r="L16" s="1"/>
    </row>
    <row r="17" spans="1:13" s="53" customFormat="1" x14ac:dyDescent="0.25">
      <c r="A17" s="1"/>
      <c r="B17" s="49"/>
      <c r="C17" s="50"/>
      <c r="D17" s="51" t="s">
        <v>13</v>
      </c>
      <c r="E17" s="52" t="s">
        <v>14</v>
      </c>
      <c r="F17" s="51" t="s">
        <v>15</v>
      </c>
      <c r="G17" s="51"/>
      <c r="H17" s="51" t="s">
        <v>16</v>
      </c>
      <c r="I17" s="51" t="s">
        <v>17</v>
      </c>
      <c r="J17" s="51" t="s">
        <v>18</v>
      </c>
      <c r="K17" s="51" t="s">
        <v>19</v>
      </c>
      <c r="L17" s="51"/>
    </row>
    <row r="18" spans="1:13" s="53" customFormat="1" x14ac:dyDescent="0.25">
      <c r="A18" s="1"/>
      <c r="B18" s="54" t="s">
        <v>20</v>
      </c>
      <c r="C18" s="55"/>
      <c r="D18" s="55"/>
      <c r="E18" s="49"/>
      <c r="F18" s="49"/>
      <c r="G18" s="49"/>
      <c r="H18" s="49"/>
      <c r="I18" s="49"/>
      <c r="J18" s="49"/>
      <c r="K18" s="49"/>
      <c r="L18" s="49"/>
    </row>
    <row r="19" spans="1:13" s="53" customFormat="1" x14ac:dyDescent="0.25">
      <c r="A19" s="1"/>
      <c r="B19" s="47" t="s">
        <v>21</v>
      </c>
      <c r="C19" s="49"/>
      <c r="D19" s="56">
        <v>26.682271</v>
      </c>
      <c r="E19" s="49" t="s">
        <v>22</v>
      </c>
      <c r="F19" s="32">
        <f>+D19*C13</f>
        <v>3735517.94</v>
      </c>
      <c r="G19" s="32"/>
      <c r="H19" s="57">
        <f>+F19/($E$13*(1-$C$10))</f>
        <v>1.1125747390978378</v>
      </c>
      <c r="I19" s="57">
        <f>F19/($F$13*(1-$C$10))</f>
        <v>4.0052690607522159</v>
      </c>
      <c r="J19" s="57">
        <f>F19/($D$13*(1-$C$10))*100</f>
        <v>4.3946702194364589</v>
      </c>
      <c r="K19" s="57">
        <f>+F19/($F$13*(1-$C$10))*100</f>
        <v>400.52690607522158</v>
      </c>
      <c r="L19" s="49"/>
    </row>
    <row r="20" spans="1:13" s="53" customFormat="1" x14ac:dyDescent="0.25">
      <c r="A20" s="1"/>
      <c r="B20" s="49" t="s">
        <v>23</v>
      </c>
      <c r="C20" s="49"/>
      <c r="D20" s="58">
        <v>0.25295699999999999</v>
      </c>
      <c r="E20" s="49" t="s">
        <v>22</v>
      </c>
      <c r="F20" s="59">
        <f>+D20*C13</f>
        <v>35413.979999999996</v>
      </c>
      <c r="G20" s="60"/>
      <c r="H20" s="61">
        <f>+F20/($E$13*(1-$C$10))</f>
        <v>1.0547586758187552E-2</v>
      </c>
      <c r="I20" s="61">
        <f>F20/($F$13*(1-$C$10))</f>
        <v>3.797131232947519E-2</v>
      </c>
      <c r="J20" s="61">
        <f>F20/($D$13*(1-$C$10))*100</f>
        <v>4.1662967694840833E-2</v>
      </c>
      <c r="K20" s="61">
        <f>+F20/($F$13*(1-$C$10))*100</f>
        <v>3.7971312329475189</v>
      </c>
      <c r="L20" s="49"/>
    </row>
    <row r="21" spans="1:13" s="53" customFormat="1" x14ac:dyDescent="0.25">
      <c r="A21" s="1"/>
      <c r="B21" s="47"/>
      <c r="C21" s="49"/>
      <c r="D21" s="62"/>
      <c r="E21" s="49"/>
      <c r="F21" s="63">
        <f>+F19+F20</f>
        <v>3770931.92</v>
      </c>
      <c r="G21" s="63"/>
      <c r="H21" s="64">
        <f>+F21/($E$13*(1-$C$10))</f>
        <v>1.1231223258560252</v>
      </c>
      <c r="I21" s="64">
        <f>F21/($F$13*(1-$C$10))</f>
        <v>4.0432403730816917</v>
      </c>
      <c r="J21" s="64">
        <f>+F21/($D$13*(1-$C$10))*100</f>
        <v>4.4363331871313001</v>
      </c>
      <c r="K21" s="64">
        <f>+F21/($F$13*(1-$C$10))*100</f>
        <v>404.32403730816918</v>
      </c>
      <c r="L21" s="65"/>
    </row>
    <row r="22" spans="1:13" x14ac:dyDescent="0.25">
      <c r="A22" s="1"/>
      <c r="B22" s="54" t="s">
        <v>24</v>
      </c>
      <c r="C22" s="66"/>
      <c r="D22" s="66"/>
      <c r="E22" s="1"/>
      <c r="F22" s="67"/>
      <c r="G22" s="67"/>
      <c r="H22" s="68"/>
      <c r="I22" s="68"/>
      <c r="J22" s="68"/>
      <c r="K22" s="68"/>
      <c r="L22" s="1"/>
    </row>
    <row r="23" spans="1:13" x14ac:dyDescent="0.25">
      <c r="A23" s="1"/>
      <c r="B23" s="1"/>
      <c r="C23" s="1"/>
      <c r="D23" s="32">
        <v>178824.69</v>
      </c>
      <c r="E23" s="1" t="s">
        <v>25</v>
      </c>
      <c r="F23" s="69">
        <f>+D23</f>
        <v>178824.69</v>
      </c>
      <c r="G23" s="69"/>
      <c r="H23" s="64">
        <f>+F23/($E$13*(1-$C$10))</f>
        <v>5.3260574843070278E-2</v>
      </c>
      <c r="I23" s="64">
        <f>+F23/($F$13*(1-$C$10))</f>
        <v>0.19173806943505303</v>
      </c>
      <c r="J23" s="64">
        <f>+F23/($D$13*(1-$C$10))*100</f>
        <v>0.21037927063012762</v>
      </c>
      <c r="K23" s="64">
        <f>+F23/($F$13*(1-$C$10))*100</f>
        <v>19.173806943505305</v>
      </c>
      <c r="L23" s="65"/>
    </row>
    <row r="24" spans="1:13" x14ac:dyDescent="0.25">
      <c r="A24" s="12"/>
      <c r="B24" s="12"/>
      <c r="C24" s="12"/>
      <c r="D24" s="70"/>
      <c r="E24" s="12"/>
      <c r="F24" s="71"/>
      <c r="G24" s="71"/>
      <c r="H24" s="72"/>
      <c r="I24" s="72"/>
      <c r="J24" s="72"/>
      <c r="K24" s="72"/>
      <c r="L24" s="12"/>
    </row>
    <row r="25" spans="1:13" ht="15.75" thickBot="1" x14ac:dyDescent="0.3">
      <c r="A25" s="12"/>
      <c r="B25" s="8" t="s">
        <v>26</v>
      </c>
      <c r="C25" s="73"/>
      <c r="D25" s="73"/>
      <c r="E25" s="73"/>
      <c r="F25" s="74">
        <f>F21+F23</f>
        <v>3949756.61</v>
      </c>
      <c r="G25" s="74"/>
      <c r="H25" s="75">
        <f>+F25/($E$13*(1-$C$10))</f>
        <v>1.1763829006990956</v>
      </c>
      <c r="I25" s="75">
        <f>+F25/($F$13*(1-$C$10))</f>
        <v>4.234978442516744</v>
      </c>
      <c r="J25" s="75">
        <f>+F25/($D$13*(1-$C$10))*100</f>
        <v>4.6467124577614278</v>
      </c>
      <c r="K25" s="75">
        <f>+F25/($F$13*(1-$C$10))*100</f>
        <v>423.49784425167439</v>
      </c>
      <c r="L25" s="76"/>
      <c r="M25" s="77"/>
    </row>
    <row r="26" spans="1:13" x14ac:dyDescent="0.25">
      <c r="A26" s="1"/>
      <c r="B26" s="78"/>
      <c r="C26" s="49"/>
      <c r="D26" s="49"/>
      <c r="E26" s="49"/>
      <c r="F26" s="79"/>
      <c r="G26" s="79"/>
      <c r="H26" s="79"/>
      <c r="I26" s="79"/>
      <c r="J26" s="79"/>
      <c r="K26" s="79"/>
      <c r="L26" s="79"/>
    </row>
    <row r="27" spans="1:13" s="53" customFormat="1" x14ac:dyDescent="0.25">
      <c r="A27" s="1"/>
      <c r="B27" s="54" t="s">
        <v>27</v>
      </c>
      <c r="C27" s="55"/>
      <c r="D27" s="80"/>
      <c r="E27" s="49"/>
      <c r="F27" s="32"/>
      <c r="G27" s="32"/>
      <c r="H27" s="51" t="s">
        <v>16</v>
      </c>
      <c r="I27" s="51" t="s">
        <v>17</v>
      </c>
      <c r="J27" s="51" t="s">
        <v>18</v>
      </c>
      <c r="K27" s="51" t="s">
        <v>19</v>
      </c>
      <c r="L27" s="49"/>
    </row>
    <row r="28" spans="1:13" s="53" customFormat="1" x14ac:dyDescent="0.25">
      <c r="A28" s="1"/>
      <c r="B28" s="49" t="s">
        <v>28</v>
      </c>
      <c r="C28" s="49" t="s">
        <v>29</v>
      </c>
      <c r="D28" s="62">
        <v>0.57887699999999997</v>
      </c>
      <c r="E28" s="49" t="s">
        <v>30</v>
      </c>
      <c r="F28" s="60">
        <f>26301370*C13*12/(8000000000/611)*1.3*D28*31/365</f>
        <v>215693.64616559315</v>
      </c>
      <c r="G28" s="60"/>
      <c r="H28" s="57">
        <f>+F28/($E$13*(1-$C$10))</f>
        <v>6.4241507057986758E-2</v>
      </c>
      <c r="I28" s="57">
        <f>+F28/($F$13*(1-$C$10))</f>
        <v>0.23126942540875234</v>
      </c>
      <c r="J28" s="57">
        <f>+F28/($D$13*(1-$C$10))*100</f>
        <v>0.25375395287904767</v>
      </c>
      <c r="K28" s="57">
        <f>+F28/($F$13*(1-$C$10))*100</f>
        <v>23.126942540875234</v>
      </c>
      <c r="L28" s="78"/>
    </row>
    <row r="29" spans="1:13" s="53" customFormat="1" x14ac:dyDescent="0.25">
      <c r="A29" s="1"/>
      <c r="B29" s="102" t="s">
        <v>31</v>
      </c>
      <c r="C29" s="49" t="s">
        <v>32</v>
      </c>
      <c r="D29" s="57">
        <v>3.388E-3</v>
      </c>
      <c r="E29" s="49" t="s">
        <v>33</v>
      </c>
      <c r="F29" s="60">
        <f t="shared" ref="F29:F34" si="0">+$D$13*D29*(1-$C$10)*(1-$D$10)</f>
        <v>286511.62500284176</v>
      </c>
      <c r="G29" s="60"/>
      <c r="H29" s="57">
        <f>+F29/($E$13*(1-$C$10))</f>
        <v>8.5333707816708862E-2</v>
      </c>
      <c r="I29" s="57">
        <f>+F29/($F$13*(1-$C$10))</f>
        <v>0.30720134814015193</v>
      </c>
      <c r="J29" s="57">
        <f>+F29/($D$13*(1-$C$10))*100</f>
        <v>0.33706814587600004</v>
      </c>
      <c r="K29" s="57">
        <f>+F29/($F$13*(1-$C$10))*100</f>
        <v>30.720134814015193</v>
      </c>
      <c r="L29" s="78"/>
    </row>
    <row r="30" spans="1:13" s="53" customFormat="1" x14ac:dyDescent="0.25">
      <c r="A30" s="1"/>
      <c r="B30" s="102"/>
      <c r="C30" s="4" t="s">
        <v>34</v>
      </c>
      <c r="D30" s="81">
        <v>0</v>
      </c>
      <c r="E30" s="4" t="s">
        <v>33</v>
      </c>
      <c r="F30" s="82">
        <f t="shared" si="0"/>
        <v>0</v>
      </c>
      <c r="G30" s="82"/>
      <c r="H30" s="83"/>
      <c r="I30" s="83"/>
      <c r="J30" s="84"/>
      <c r="K30" s="84"/>
      <c r="L30" s="78"/>
    </row>
    <row r="31" spans="1:13" s="53" customFormat="1" x14ac:dyDescent="0.25">
      <c r="A31" s="1"/>
      <c r="B31" s="102"/>
      <c r="C31" s="4" t="s">
        <v>35</v>
      </c>
      <c r="D31" s="81">
        <v>0</v>
      </c>
      <c r="E31" s="4" t="s">
        <v>33</v>
      </c>
      <c r="F31" s="82">
        <f t="shared" si="0"/>
        <v>0</v>
      </c>
      <c r="G31" s="82"/>
      <c r="H31" s="83"/>
      <c r="I31" s="83"/>
      <c r="J31" s="84"/>
      <c r="K31" s="84"/>
      <c r="L31" s="78"/>
    </row>
    <row r="32" spans="1:13" s="53" customFormat="1" x14ac:dyDescent="0.25">
      <c r="A32" s="1"/>
      <c r="B32" s="102"/>
      <c r="C32" s="49" t="s">
        <v>36</v>
      </c>
      <c r="D32" s="56">
        <v>1.678E-3</v>
      </c>
      <c r="E32" s="49" t="s">
        <v>33</v>
      </c>
      <c r="F32" s="60">
        <f t="shared" si="0"/>
        <v>141902.74697602374</v>
      </c>
      <c r="G32" s="60"/>
      <c r="H32" s="57">
        <f>+F32/($E$13*(1-$C$10))</f>
        <v>4.2263861191392402E-2</v>
      </c>
      <c r="I32" s="57">
        <f>+F32/($F$13*(1-$C$10))</f>
        <v>0.15214990028901268</v>
      </c>
      <c r="J32" s="57">
        <f>+F32/($D$13*(1-$C$10))*100</f>
        <v>0.16694225170600002</v>
      </c>
      <c r="K32" s="57">
        <f>+F32/($F$13*(1-$C$10))*100</f>
        <v>15.214990028901267</v>
      </c>
      <c r="L32" s="78"/>
    </row>
    <row r="33" spans="1:13" s="53" customFormat="1" x14ac:dyDescent="0.25">
      <c r="A33" s="1"/>
      <c r="B33" s="102"/>
      <c r="C33" s="4" t="s">
        <v>37</v>
      </c>
      <c r="D33" s="81">
        <v>0</v>
      </c>
      <c r="E33" s="4" t="s">
        <v>33</v>
      </c>
      <c r="F33" s="82">
        <f t="shared" si="0"/>
        <v>0</v>
      </c>
      <c r="G33" s="85"/>
      <c r="H33" s="84"/>
      <c r="I33" s="84"/>
      <c r="J33" s="84"/>
      <c r="K33" s="84"/>
      <c r="L33" s="78"/>
    </row>
    <row r="34" spans="1:13" s="53" customFormat="1" x14ac:dyDescent="0.25">
      <c r="A34" s="1"/>
      <c r="B34" s="86"/>
      <c r="C34" s="4" t="s">
        <v>38</v>
      </c>
      <c r="D34" s="81">
        <v>0</v>
      </c>
      <c r="E34" s="4" t="s">
        <v>33</v>
      </c>
      <c r="F34" s="87">
        <f t="shared" si="0"/>
        <v>0</v>
      </c>
      <c r="G34" s="88"/>
      <c r="H34" s="89"/>
      <c r="I34" s="89"/>
      <c r="J34" s="89"/>
      <c r="K34" s="89"/>
      <c r="L34" s="78"/>
    </row>
    <row r="35" spans="1:13" s="53" customFormat="1" x14ac:dyDescent="0.25">
      <c r="A35" s="1"/>
      <c r="B35" s="49"/>
      <c r="C35" s="49"/>
      <c r="D35" s="49"/>
      <c r="E35" s="90"/>
      <c r="F35" s="69">
        <f>SUM(F28:F34)</f>
        <v>644108.01814445865</v>
      </c>
      <c r="G35" s="69"/>
      <c r="H35" s="65">
        <f>+F35/($E$13*(1-$C$10))</f>
        <v>0.19183907606608802</v>
      </c>
      <c r="I35" s="65">
        <f>+F35/($F$13*(1-$C$10))</f>
        <v>0.69062067383791692</v>
      </c>
      <c r="J35" s="65">
        <f>+F35/($D$13*(1-$C$10))*100</f>
        <v>0.75776435046104773</v>
      </c>
      <c r="K35" s="65">
        <f>+F35/($F$13*(1-$C$10))*100</f>
        <v>69.062067383791685</v>
      </c>
      <c r="L35" s="65"/>
      <c r="M35" s="77"/>
    </row>
    <row r="36" spans="1:13" s="53" customFormat="1" x14ac:dyDescent="0.25">
      <c r="A36" s="1"/>
      <c r="B36" s="49"/>
      <c r="C36" s="49"/>
      <c r="D36" s="49"/>
      <c r="E36" s="49"/>
      <c r="F36" s="69"/>
      <c r="G36" s="69"/>
      <c r="H36" s="65"/>
      <c r="I36" s="65"/>
      <c r="J36" s="65"/>
      <c r="K36" s="65"/>
      <c r="L36" s="65"/>
    </row>
    <row r="37" spans="1:13" s="93" customFormat="1" ht="14.45" hidden="1" customHeight="1" x14ac:dyDescent="0.25">
      <c r="A37" s="91"/>
      <c r="B37" s="91"/>
      <c r="C37" s="91"/>
      <c r="D37" s="103" t="s">
        <v>39</v>
      </c>
      <c r="E37" s="103"/>
      <c r="F37" s="60">
        <v>1555153.3722430887</v>
      </c>
      <c r="G37" s="60"/>
      <c r="H37" s="92">
        <f>F35-F37</f>
        <v>-911045.35409863002</v>
      </c>
      <c r="I37" s="92"/>
      <c r="J37" s="91"/>
      <c r="K37" s="91"/>
      <c r="L37" s="91"/>
    </row>
    <row r="38" spans="1:13" x14ac:dyDescent="0.25">
      <c r="A38" s="1"/>
      <c r="B38" s="78" t="s">
        <v>40</v>
      </c>
      <c r="C38" s="1"/>
      <c r="D38" s="1"/>
      <c r="E38" s="1"/>
      <c r="F38" s="79">
        <f>F25+F35</f>
        <v>4593864.6281444589</v>
      </c>
      <c r="G38" s="94"/>
      <c r="H38" s="79">
        <f>H25+H35</f>
        <v>1.3682219767651835</v>
      </c>
      <c r="I38" s="79">
        <f>I25+I35</f>
        <v>4.9255991163546611</v>
      </c>
      <c r="J38" s="79">
        <f>J25+J35</f>
        <v>5.4044768082224754</v>
      </c>
      <c r="K38" s="79">
        <f>K25+K35</f>
        <v>492.55991163546605</v>
      </c>
      <c r="L38" s="1"/>
    </row>
    <row r="39" spans="1:13" x14ac:dyDescent="0.25">
      <c r="A39" s="1"/>
      <c r="B39" s="78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3" ht="15.75" thickBot="1" x14ac:dyDescent="0.3">
      <c r="A40" s="1"/>
      <c r="B40" s="9" t="s">
        <v>41</v>
      </c>
      <c r="C40" s="10"/>
      <c r="D40" s="10"/>
      <c r="E40" s="10"/>
      <c r="F40" s="10"/>
      <c r="G40" s="10"/>
      <c r="H40" s="10"/>
      <c r="I40" s="10"/>
      <c r="J40" s="10"/>
      <c r="K40" s="10"/>
      <c r="L40" s="1"/>
    </row>
    <row r="41" spans="1:1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3" ht="14.45" customHeight="1" x14ac:dyDescent="0.25">
      <c r="A42" s="1"/>
      <c r="B42" s="99" t="s">
        <v>42</v>
      </c>
      <c r="C42" s="95" t="s">
        <v>43</v>
      </c>
      <c r="D42" s="95"/>
      <c r="E42" s="1"/>
      <c r="F42" s="104">
        <f>+F21+F35</f>
        <v>4415039.9381444585</v>
      </c>
      <c r="G42" s="96"/>
      <c r="H42" s="1"/>
      <c r="I42" s="1"/>
      <c r="J42" s="1"/>
      <c r="K42" s="1"/>
      <c r="L42" s="1"/>
    </row>
    <row r="43" spans="1:13" ht="40.9" customHeight="1" x14ac:dyDescent="0.25">
      <c r="A43" s="1"/>
      <c r="B43" s="99"/>
      <c r="C43" s="97" t="s">
        <v>44</v>
      </c>
      <c r="D43" s="97"/>
      <c r="E43" s="1"/>
      <c r="F43" s="104"/>
      <c r="G43" s="96"/>
      <c r="H43" s="1"/>
      <c r="I43" s="1"/>
      <c r="J43" s="1"/>
      <c r="K43" s="1"/>
      <c r="L43" s="1"/>
    </row>
    <row r="44" spans="1:13" ht="24.4" customHeight="1" x14ac:dyDescent="0.25">
      <c r="A44" s="1"/>
      <c r="B44" s="1"/>
      <c r="C44" s="49"/>
      <c r="D44" s="49"/>
      <c r="E44" s="1"/>
      <c r="F44" s="1"/>
      <c r="G44" s="1"/>
      <c r="H44" s="1"/>
      <c r="I44" s="1"/>
      <c r="J44" s="1"/>
      <c r="K44" s="1"/>
      <c r="L44" s="1"/>
    </row>
    <row r="45" spans="1:13" ht="15" customHeight="1" x14ac:dyDescent="0.25">
      <c r="A45" s="1"/>
      <c r="B45" s="99" t="s">
        <v>45</v>
      </c>
      <c r="C45" s="95" t="s">
        <v>43</v>
      </c>
      <c r="D45" s="95"/>
      <c r="E45" s="1"/>
      <c r="F45" s="1"/>
      <c r="G45" s="1"/>
      <c r="H45" s="1"/>
      <c r="I45" s="1"/>
      <c r="J45" s="1"/>
      <c r="K45" s="1"/>
      <c r="L45" s="1"/>
    </row>
    <row r="46" spans="1:13" ht="30" customHeight="1" x14ac:dyDescent="0.25">
      <c r="A46" s="1"/>
      <c r="B46" s="99"/>
      <c r="C46" s="97">
        <v>3</v>
      </c>
      <c r="D46" s="97"/>
      <c r="E46" s="1"/>
      <c r="F46" s="1"/>
      <c r="G46" s="1"/>
      <c r="H46" s="1"/>
      <c r="I46" s="1"/>
      <c r="J46" s="1"/>
      <c r="K46" s="1"/>
      <c r="L46" s="1"/>
    </row>
    <row r="47" spans="1:1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51" spans="3:3" x14ac:dyDescent="0.25">
      <c r="C51" s="98"/>
    </row>
  </sheetData>
  <mergeCells count="6">
    <mergeCell ref="F42:F43"/>
    <mergeCell ref="B45:B46"/>
    <mergeCell ref="B12:B13"/>
    <mergeCell ref="B29:B33"/>
    <mergeCell ref="D37:E37"/>
    <mergeCell ref="B42:B43"/>
  </mergeCells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Tariff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Pirotta Roberta</dc:creator>
  <cp:lastModifiedBy>Pirotta Roberta</cp:lastModifiedBy>
  <dcterms:created xsi:type="dcterms:W3CDTF">2019-02-13T16:06:41Z</dcterms:created>
  <dcterms:modified xsi:type="dcterms:W3CDTF">2019-09-20T08:01:16Z</dcterms:modified>
</cp:coreProperties>
</file>